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53222"/>
  <mc:AlternateContent xmlns:mc="http://schemas.openxmlformats.org/markup-compatibility/2006">
    <mc:Choice Requires="x15">
      <x15ac:absPath xmlns:x15ac="http://schemas.microsoft.com/office/spreadsheetml/2010/11/ac" url="G:\Mi unidad\2026\3. Rev Doc y Form SGC\3. Autoridad Ambiental\2.Modicifación tabla unica para la liquidación de tarifa\"/>
    </mc:Choice>
  </mc:AlternateContent>
  <bookViews>
    <workbookView xWindow="0" yWindow="0" windowWidth="28800" windowHeight="11805"/>
  </bookViews>
  <sheets>
    <sheet name=" R-FC-88" sheetId="16" r:id="rId1"/>
    <sheet name="Instructivo" sheetId="13" r:id="rId2"/>
    <sheet name="CALCULO TARIFA FINAL" sheetId="9" state="hidden" r:id="rId3"/>
    <sheet name="Calculos" sheetId="6" state="hidden" r:id="rId4"/>
    <sheet name="Tabla Honorarios 2023" sheetId="2" r:id="rId5"/>
    <sheet name="TablaViaticos2021" sheetId="3" state="hidden" r:id="rId6"/>
    <sheet name="TarifasTransporte" sheetId="4" state="hidden" r:id="rId7"/>
    <sheet name="Tarifaslab" sheetId="8" state="hidden" r:id="rId8"/>
    <sheet name="VALOR DEL PROYECTO" sheetId="10" state="hidden" r:id="rId9"/>
    <sheet name="bdMacroeconomicos" sheetId="11" r:id="rId10"/>
    <sheet name="Tablasalarios2018" sheetId="7" state="hidden" r:id="rId11"/>
  </sheets>
  <externalReferences>
    <externalReference r:id="rId12"/>
  </externalReferences>
  <definedNames>
    <definedName name="_xlnm._FilterDatabase" localSheetId="4" hidden="1">'Tabla Honorarios 2023'!$A$26:$I$61</definedName>
    <definedName name="_xlnm.Print_Area" localSheetId="0">' R-FC-88'!$A$4:$M$55</definedName>
    <definedName name="Profesionales" localSheetId="10">Tablasalarios2018!$A$4:$A$18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3" i="2" l="1"/>
  <c r="G52" i="2"/>
  <c r="G51" i="2"/>
  <c r="G50" i="2"/>
  <c r="G49" i="2"/>
  <c r="G48" i="2"/>
  <c r="G47" i="2"/>
  <c r="G46" i="2"/>
  <c r="G45" i="2"/>
  <c r="G44" i="2"/>
  <c r="G43" i="2"/>
  <c r="G42" i="2"/>
  <c r="G41" i="2"/>
  <c r="G40" i="2"/>
  <c r="G39" i="2"/>
  <c r="G38" i="2"/>
  <c r="G37" i="2"/>
  <c r="G36" i="2"/>
  <c r="G35" i="2"/>
  <c r="G34" i="2"/>
  <c r="G33" i="2"/>
  <c r="G32" i="2"/>
  <c r="G31" i="2"/>
  <c r="G30" i="2"/>
  <c r="G29" i="2"/>
  <c r="G28" i="2"/>
  <c r="G27" i="2"/>
  <c r="E68" i="16" l="1"/>
  <c r="E69" i="16"/>
  <c r="E70" i="16"/>
  <c r="E71" i="16"/>
  <c r="E72" i="16"/>
  <c r="E73" i="16"/>
  <c r="E74" i="16"/>
  <c r="E75" i="16"/>
  <c r="E76" i="16"/>
  <c r="E77" i="16"/>
  <c r="E78" i="16"/>
  <c r="E79" i="16"/>
  <c r="E67" i="16"/>
  <c r="K19" i="16" l="1"/>
  <c r="A52" i="2"/>
  <c r="A51" i="2"/>
  <c r="A50" i="2"/>
  <c r="A36" i="2"/>
  <c r="A33" i="2"/>
  <c r="A32" i="2"/>
  <c r="H27" i="2"/>
  <c r="H30" i="2"/>
  <c r="H31" i="2"/>
  <c r="H32" i="2"/>
  <c r="H33" i="2"/>
  <c r="H36" i="2"/>
  <c r="H43" i="2"/>
  <c r="H50" i="2"/>
  <c r="H51" i="2"/>
  <c r="H52" i="2"/>
  <c r="J23" i="16" l="1"/>
  <c r="J18" i="16"/>
  <c r="M46" i="16"/>
  <c r="J17" i="16"/>
  <c r="J26" i="16"/>
  <c r="J25" i="16"/>
  <c r="J24" i="16"/>
  <c r="J20" i="16"/>
  <c r="J21" i="16"/>
  <c r="J22" i="16"/>
  <c r="J27" i="16"/>
  <c r="J28" i="16"/>
  <c r="G7" i="2"/>
  <c r="G9" i="2"/>
  <c r="G8" i="2"/>
  <c r="E46" i="16" l="1"/>
  <c r="F84" i="16" l="1"/>
  <c r="G84" i="16" s="1"/>
  <c r="F70" i="16"/>
  <c r="F78" i="16"/>
  <c r="F71" i="16"/>
  <c r="F72" i="16"/>
  <c r="F85" i="16"/>
  <c r="G85" i="16" s="1"/>
  <c r="F73" i="16"/>
  <c r="F74" i="16"/>
  <c r="F75" i="16"/>
  <c r="F83" i="16"/>
  <c r="G83" i="16" s="1"/>
  <c r="F68" i="16"/>
  <c r="F76" i="16"/>
  <c r="F69" i="16"/>
  <c r="F77" i="16"/>
  <c r="F79" i="16"/>
  <c r="F67" i="16"/>
  <c r="C19" i="11"/>
  <c r="J19" i="16" l="1"/>
  <c r="F18" i="16"/>
  <c r="L18" i="16"/>
  <c r="F19" i="16" l="1"/>
  <c r="K20" i="16"/>
  <c r="L20" i="16" s="1"/>
  <c r="F20" i="16"/>
  <c r="F17" i="16"/>
  <c r="K17" i="16"/>
  <c r="L17" i="16" s="1"/>
  <c r="K26" i="16" l="1"/>
  <c r="K25" i="16"/>
  <c r="G6" i="2" l="1"/>
  <c r="G5" i="2"/>
  <c r="G4" i="2"/>
  <c r="E26" i="16" s="1"/>
  <c r="D17" i="11"/>
  <c r="E6" i="3"/>
  <c r="E5" i="2" l="1"/>
  <c r="E4" i="2"/>
  <c r="E47" i="16"/>
  <c r="E48" i="16" s="1"/>
  <c r="D10" i="11" l="1"/>
  <c r="D11" i="11"/>
  <c r="D14" i="11"/>
  <c r="D16" i="11"/>
  <c r="D15" i="11"/>
  <c r="K21" i="16" l="1"/>
  <c r="K22" i="16"/>
  <c r="K23" i="16"/>
  <c r="K24" i="16"/>
  <c r="A27" i="3"/>
  <c r="A28" i="3"/>
  <c r="A29" i="3"/>
  <c r="A30" i="3"/>
  <c r="A31" i="3"/>
  <c r="A32" i="3"/>
  <c r="A33" i="3"/>
  <c r="A34" i="3"/>
  <c r="A35" i="3"/>
  <c r="A36" i="3"/>
  <c r="A37" i="3"/>
  <c r="A38" i="3"/>
  <c r="A39" i="3"/>
  <c r="A40" i="3"/>
  <c r="A26" i="3"/>
  <c r="E6" i="2"/>
  <c r="G11" i="2" l="1"/>
  <c r="D13" i="11"/>
  <c r="D12" i="11"/>
  <c r="D9" i="11"/>
  <c r="D8" i="11"/>
  <c r="D7" i="11"/>
  <c r="D6" i="11"/>
  <c r="D5" i="11"/>
  <c r="D4" i="11"/>
  <c r="K43" i="16" l="1"/>
  <c r="L43" i="16" s="1"/>
  <c r="J43" i="16"/>
  <c r="F43" i="16" s="1"/>
  <c r="E43" i="16"/>
  <c r="K42" i="16"/>
  <c r="L42" i="16" s="1"/>
  <c r="J42" i="16"/>
  <c r="F42" i="16" s="1"/>
  <c r="E42" i="16"/>
  <c r="K41" i="16"/>
  <c r="L41" i="16" s="1"/>
  <c r="J41" i="16"/>
  <c r="F41" i="16" s="1"/>
  <c r="E41" i="16"/>
  <c r="K40" i="16"/>
  <c r="L40" i="16" s="1"/>
  <c r="J40" i="16"/>
  <c r="F40" i="16" s="1"/>
  <c r="E40" i="16"/>
  <c r="K39" i="16"/>
  <c r="L39" i="16" s="1"/>
  <c r="J39" i="16"/>
  <c r="F39" i="16" s="1"/>
  <c r="E39" i="16"/>
  <c r="K38" i="16"/>
  <c r="L38" i="16" s="1"/>
  <c r="J38" i="16"/>
  <c r="F38" i="16" s="1"/>
  <c r="E38" i="16"/>
  <c r="K37" i="16"/>
  <c r="L37" i="16" s="1"/>
  <c r="J37" i="16"/>
  <c r="F37" i="16" s="1"/>
  <c r="E37" i="16"/>
  <c r="K36" i="16"/>
  <c r="L36" i="16" s="1"/>
  <c r="J36" i="16"/>
  <c r="F36" i="16" s="1"/>
  <c r="E36" i="16"/>
  <c r="K35" i="16"/>
  <c r="L35" i="16" s="1"/>
  <c r="J35" i="16"/>
  <c r="F35" i="16" s="1"/>
  <c r="E35" i="16"/>
  <c r="K34" i="16"/>
  <c r="L34" i="16" s="1"/>
  <c r="J34" i="16"/>
  <c r="F34" i="16" s="1"/>
  <c r="E34" i="16"/>
  <c r="K33" i="16"/>
  <c r="L33" i="16" s="1"/>
  <c r="J33" i="16"/>
  <c r="F33" i="16" s="1"/>
  <c r="E33" i="16"/>
  <c r="K32" i="16"/>
  <c r="L32" i="16" s="1"/>
  <c r="J32" i="16"/>
  <c r="F32" i="16" s="1"/>
  <c r="E32" i="16"/>
  <c r="K31" i="16"/>
  <c r="L31" i="16" s="1"/>
  <c r="J31" i="16"/>
  <c r="F31" i="16" s="1"/>
  <c r="E31" i="16"/>
  <c r="K30" i="16"/>
  <c r="L30" i="16" s="1"/>
  <c r="J30" i="16"/>
  <c r="F30" i="16" s="1"/>
  <c r="E30" i="16"/>
  <c r="K29" i="16"/>
  <c r="L29" i="16" s="1"/>
  <c r="J29" i="16"/>
  <c r="F29" i="16" s="1"/>
  <c r="E29" i="16"/>
  <c r="K28" i="16"/>
  <c r="L28" i="16" s="1"/>
  <c r="F28" i="16"/>
  <c r="E28" i="16"/>
  <c r="K27" i="16"/>
  <c r="L27" i="16" s="1"/>
  <c r="F27" i="16"/>
  <c r="E27" i="16"/>
  <c r="L26" i="16"/>
  <c r="M26" i="16" s="1"/>
  <c r="F26" i="16"/>
  <c r="L25" i="16"/>
  <c r="F25" i="16"/>
  <c r="L24" i="16"/>
  <c r="F24" i="16"/>
  <c r="L23" i="16"/>
  <c r="F23" i="16"/>
  <c r="L22" i="16"/>
  <c r="F22" i="16"/>
  <c r="L21" i="16"/>
  <c r="F21" i="16"/>
  <c r="M40" i="16" l="1"/>
  <c r="M30" i="16"/>
  <c r="M35" i="16"/>
  <c r="M39" i="16"/>
  <c r="M27" i="16"/>
  <c r="M31" i="16"/>
  <c r="M43" i="16"/>
  <c r="M29" i="16"/>
  <c r="M28" i="16"/>
  <c r="M32" i="16"/>
  <c r="M34" i="16"/>
  <c r="M36" i="16"/>
  <c r="M37" i="16"/>
  <c r="M41" i="16"/>
  <c r="M38" i="16"/>
  <c r="M42" i="16"/>
  <c r="M33" i="16"/>
  <c r="E50" i="16" l="1"/>
  <c r="Q45" i="2" l="1"/>
  <c r="P45" i="2"/>
  <c r="A43" i="2" l="1"/>
  <c r="G12" i="2"/>
  <c r="G17" i="2"/>
  <c r="C264" i="8"/>
  <c r="C263" i="8"/>
  <c r="E218" i="8"/>
  <c r="K3" i="4" l="1"/>
  <c r="J3" i="4"/>
  <c r="I3" i="4"/>
  <c r="K8" i="4" s="1"/>
  <c r="K10" i="4" l="1"/>
  <c r="K9" i="4"/>
  <c r="K11" i="4" l="1"/>
  <c r="M216" i="8" l="1"/>
  <c r="M215" i="8"/>
  <c r="M214" i="8"/>
  <c r="M213" i="8"/>
  <c r="M212" i="8"/>
  <c r="M211" i="8"/>
  <c r="M210" i="8"/>
  <c r="M209" i="8"/>
  <c r="M208" i="8"/>
  <c r="M207" i="8"/>
  <c r="M267" i="8"/>
  <c r="M266" i="8"/>
  <c r="M265" i="8"/>
  <c r="M264" i="8"/>
  <c r="M263" i="8"/>
  <c r="M262" i="8"/>
  <c r="M261" i="8"/>
  <c r="M260" i="8"/>
  <c r="M259" i="8"/>
  <c r="M258" i="8"/>
  <c r="M257" i="8"/>
  <c r="M256" i="8"/>
  <c r="M255" i="8"/>
  <c r="M254" i="8"/>
  <c r="M253" i="8"/>
  <c r="M252" i="8"/>
  <c r="M251" i="8"/>
  <c r="M250" i="8"/>
  <c r="M249" i="8"/>
  <c r="M248" i="8"/>
  <c r="M247" i="8"/>
  <c r="M246" i="8"/>
  <c r="M245" i="8"/>
  <c r="M244" i="8"/>
  <c r="M243" i="8"/>
  <c r="M242" i="8"/>
  <c r="M241" i="8"/>
  <c r="M240" i="8"/>
  <c r="M239" i="8"/>
  <c r="M238" i="8"/>
  <c r="M237" i="8"/>
  <c r="M236" i="8"/>
  <c r="M235" i="8"/>
  <c r="M234" i="8"/>
  <c r="M233" i="8"/>
  <c r="M232" i="8"/>
  <c r="M231" i="8"/>
  <c r="M230" i="8"/>
  <c r="M229" i="8"/>
  <c r="M228" i="8"/>
  <c r="M227" i="8"/>
  <c r="M226" i="8"/>
  <c r="M225" i="8"/>
  <c r="M224" i="8"/>
  <c r="M223" i="8"/>
  <c r="M222" i="8"/>
  <c r="M221" i="8"/>
  <c r="M220" i="8"/>
  <c r="M219" i="8"/>
  <c r="M218" i="8"/>
  <c r="I3" i="6" l="1"/>
  <c r="N19" i="10" l="1"/>
  <c r="N18" i="10"/>
  <c r="N17" i="10"/>
  <c r="C43" i="9"/>
  <c r="O16" i="10" s="1"/>
  <c r="C42" i="9"/>
  <c r="O15" i="10" s="1"/>
  <c r="C41" i="9"/>
  <c r="O14" i="10" s="1"/>
  <c r="C40" i="9"/>
  <c r="O13" i="10" s="1"/>
  <c r="C39" i="9"/>
  <c r="O12" i="10" s="1"/>
  <c r="C38" i="9"/>
  <c r="O11" i="10" s="1"/>
  <c r="C37" i="9"/>
  <c r="O10" i="10" s="1"/>
  <c r="C36" i="9"/>
  <c r="O9" i="10" s="1"/>
  <c r="C35" i="9"/>
  <c r="O8" i="10" s="1"/>
  <c r="C34" i="9"/>
  <c r="O7" i="10" s="1"/>
  <c r="C33" i="9"/>
  <c r="O6" i="10" s="1"/>
  <c r="C32" i="9"/>
  <c r="O5" i="10" s="1"/>
  <c r="C31" i="9"/>
  <c r="O4" i="10" s="1"/>
  <c r="G10" i="2" l="1"/>
  <c r="L3" i="6" l="1"/>
  <c r="L162" i="6"/>
  <c r="L161" i="6"/>
  <c r="L160" i="6"/>
  <c r="L159" i="6"/>
  <c r="L158" i="6"/>
  <c r="L157" i="6"/>
  <c r="L156" i="6"/>
  <c r="L155" i="6"/>
  <c r="L154" i="6"/>
  <c r="L153" i="6"/>
  <c r="L152" i="6"/>
  <c r="L151" i="6"/>
  <c r="L150" i="6"/>
  <c r="L149" i="6"/>
  <c r="L148" i="6"/>
  <c r="L147" i="6"/>
  <c r="L146" i="6"/>
  <c r="L145" i="6"/>
  <c r="L144" i="6"/>
  <c r="L143" i="6"/>
  <c r="L142" i="6"/>
  <c r="L141" i="6"/>
  <c r="L140" i="6"/>
  <c r="L139" i="6"/>
  <c r="L138" i="6"/>
  <c r="L137" i="6"/>
  <c r="L136" i="6"/>
  <c r="L135" i="6"/>
  <c r="L134" i="6"/>
  <c r="L133" i="6"/>
  <c r="L132" i="6"/>
  <c r="L131" i="6"/>
  <c r="L130" i="6"/>
  <c r="L129" i="6"/>
  <c r="L128" i="6"/>
  <c r="L127" i="6"/>
  <c r="L126" i="6"/>
  <c r="L125" i="6"/>
  <c r="L124" i="6"/>
  <c r="L123" i="6"/>
  <c r="L122" i="6"/>
  <c r="L121" i="6"/>
  <c r="L120" i="6"/>
  <c r="L119" i="6"/>
  <c r="L118" i="6"/>
  <c r="L117" i="6"/>
  <c r="L116" i="6"/>
  <c r="L115" i="6"/>
  <c r="L114" i="6"/>
  <c r="L113" i="6"/>
  <c r="L112" i="6"/>
  <c r="L111" i="6"/>
  <c r="L110" i="6"/>
  <c r="L109" i="6"/>
  <c r="L108" i="6"/>
  <c r="L107" i="6"/>
  <c r="L106" i="6"/>
  <c r="L105" i="6"/>
  <c r="L104" i="6"/>
  <c r="L103" i="6"/>
  <c r="L102" i="6"/>
  <c r="L101" i="6"/>
  <c r="L100" i="6"/>
  <c r="L99" i="6"/>
  <c r="L98" i="6"/>
  <c r="L97" i="6"/>
  <c r="L96" i="6"/>
  <c r="L95" i="6"/>
  <c r="L94" i="6"/>
  <c r="L93" i="6"/>
  <c r="L92" i="6"/>
  <c r="L91" i="6"/>
  <c r="L90" i="6"/>
  <c r="L89" i="6"/>
  <c r="L88" i="6"/>
  <c r="L87" i="6"/>
  <c r="L86" i="6"/>
  <c r="L85" i="6"/>
  <c r="L84" i="6"/>
  <c r="L83" i="6"/>
  <c r="L82" i="6"/>
  <c r="L81" i="6"/>
  <c r="L80" i="6"/>
  <c r="L79" i="6"/>
  <c r="L78" i="6"/>
  <c r="L77" i="6"/>
  <c r="L76" i="6"/>
  <c r="L75" i="6"/>
  <c r="L74" i="6"/>
  <c r="L73" i="6"/>
  <c r="L72" i="6"/>
  <c r="L71" i="6"/>
  <c r="L70" i="6"/>
  <c r="L69" i="6"/>
  <c r="L68" i="6"/>
  <c r="L67" i="6"/>
  <c r="L66" i="6"/>
  <c r="L65" i="6"/>
  <c r="L64" i="6"/>
  <c r="L63" i="6"/>
  <c r="L62" i="6"/>
  <c r="L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9" i="6"/>
  <c r="L28" i="6"/>
  <c r="L27" i="6"/>
  <c r="L26" i="6"/>
  <c r="L25" i="6"/>
  <c r="L24" i="6"/>
  <c r="L23" i="6"/>
  <c r="L22" i="6"/>
  <c r="L21" i="6"/>
  <c r="L20" i="6"/>
  <c r="L19" i="6"/>
  <c r="L18" i="6"/>
  <c r="L17" i="6"/>
  <c r="L16" i="6"/>
  <c r="L15" i="6"/>
  <c r="L14" i="6"/>
  <c r="L13" i="6"/>
  <c r="L12" i="6"/>
  <c r="L11" i="6"/>
  <c r="L10" i="6"/>
  <c r="L9" i="6"/>
  <c r="L8" i="6"/>
  <c r="L7" i="6"/>
  <c r="L6" i="6"/>
  <c r="L5" i="6"/>
  <c r="L4" i="6"/>
  <c r="I162" i="6"/>
  <c r="I161" i="6"/>
  <c r="I160" i="6"/>
  <c r="I159" i="6"/>
  <c r="I158" i="6"/>
  <c r="I157" i="6"/>
  <c r="I156" i="6"/>
  <c r="I155" i="6"/>
  <c r="I154" i="6"/>
  <c r="I153" i="6"/>
  <c r="I152" i="6"/>
  <c r="I151" i="6"/>
  <c r="I150" i="6"/>
  <c r="I149" i="6"/>
  <c r="I148" i="6"/>
  <c r="I147" i="6"/>
  <c r="I146" i="6"/>
  <c r="I145" i="6"/>
  <c r="I144" i="6"/>
  <c r="I143" i="6"/>
  <c r="I142" i="6"/>
  <c r="I141" i="6"/>
  <c r="I140" i="6"/>
  <c r="I139" i="6"/>
  <c r="I138" i="6"/>
  <c r="I137" i="6"/>
  <c r="I136" i="6"/>
  <c r="I135" i="6"/>
  <c r="I134" i="6"/>
  <c r="I133" i="6"/>
  <c r="I132" i="6"/>
  <c r="I131" i="6"/>
  <c r="I130" i="6"/>
  <c r="I129" i="6"/>
  <c r="I128" i="6"/>
  <c r="I127" i="6"/>
  <c r="I126" i="6"/>
  <c r="I125" i="6"/>
  <c r="I124" i="6"/>
  <c r="I123" i="6"/>
  <c r="I122" i="6"/>
  <c r="I121" i="6"/>
  <c r="I120" i="6"/>
  <c r="I119" i="6"/>
  <c r="I118" i="6"/>
  <c r="I117" i="6"/>
  <c r="I116" i="6"/>
  <c r="I115" i="6"/>
  <c r="I114" i="6"/>
  <c r="I113" i="6"/>
  <c r="I112" i="6"/>
  <c r="I111" i="6"/>
  <c r="I110" i="6"/>
  <c r="I109" i="6"/>
  <c r="I108" i="6"/>
  <c r="I107" i="6"/>
  <c r="I106" i="6"/>
  <c r="I105" i="6"/>
  <c r="I104" i="6"/>
  <c r="I103" i="6"/>
  <c r="I102" i="6"/>
  <c r="I101" i="6"/>
  <c r="I100" i="6"/>
  <c r="I99" i="6"/>
  <c r="I98" i="6"/>
  <c r="I97" i="6"/>
  <c r="I96" i="6"/>
  <c r="I95" i="6"/>
  <c r="I94" i="6"/>
  <c r="I93" i="6"/>
  <c r="I92" i="6"/>
  <c r="I91" i="6"/>
  <c r="I90" i="6"/>
  <c r="I89" i="6"/>
  <c r="I88" i="6"/>
  <c r="I87" i="6"/>
  <c r="I86" i="6"/>
  <c r="I85" i="6"/>
  <c r="I84" i="6"/>
  <c r="I83" i="6"/>
  <c r="I82" i="6"/>
  <c r="I81" i="6"/>
  <c r="I80" i="6"/>
  <c r="I79" i="6"/>
  <c r="I78" i="6"/>
  <c r="I77" i="6"/>
  <c r="I76" i="6"/>
  <c r="I75" i="6"/>
  <c r="I74" i="6"/>
  <c r="I73" i="6"/>
  <c r="I72" i="6"/>
  <c r="I71" i="6"/>
  <c r="I70" i="6"/>
  <c r="I69" i="6"/>
  <c r="I68" i="6"/>
  <c r="I67" i="6"/>
  <c r="I66" i="6"/>
  <c r="I65" i="6"/>
  <c r="I64" i="6"/>
  <c r="I63" i="6"/>
  <c r="I62" i="6"/>
  <c r="I61" i="6"/>
  <c r="I60" i="6"/>
  <c r="I59" i="6"/>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I9" i="6"/>
  <c r="I8" i="6"/>
  <c r="I7" i="6"/>
  <c r="I6" i="6"/>
  <c r="I5" i="6"/>
  <c r="I4" i="6"/>
  <c r="E12" i="3"/>
  <c r="A27" i="2" l="1"/>
  <c r="A38" i="2"/>
  <c r="A31" i="2"/>
  <c r="A30" i="2"/>
  <c r="E159" i="6" l="1"/>
  <c r="J159" i="6" s="1"/>
  <c r="E155" i="6"/>
  <c r="J155" i="6" s="1"/>
  <c r="E151" i="6"/>
  <c r="J151" i="6" s="1"/>
  <c r="E147" i="6"/>
  <c r="J147" i="6" s="1"/>
  <c r="E143" i="6"/>
  <c r="J143" i="6" s="1"/>
  <c r="E139" i="6"/>
  <c r="J139" i="6" s="1"/>
  <c r="E135" i="6"/>
  <c r="J135" i="6" s="1"/>
  <c r="E131" i="6"/>
  <c r="J131" i="6" s="1"/>
  <c r="E127" i="6"/>
  <c r="J127" i="6" s="1"/>
  <c r="E123" i="6"/>
  <c r="J123" i="6" s="1"/>
  <c r="E119" i="6"/>
  <c r="J119" i="6" s="1"/>
  <c r="E115" i="6"/>
  <c r="J115" i="6" s="1"/>
  <c r="E111" i="6"/>
  <c r="J111" i="6" s="1"/>
  <c r="E107" i="6"/>
  <c r="J107" i="6" s="1"/>
  <c r="E103" i="6"/>
  <c r="J103" i="6" s="1"/>
  <c r="E99" i="6"/>
  <c r="J99" i="6" s="1"/>
  <c r="E95" i="6"/>
  <c r="J95" i="6" s="1"/>
  <c r="E91" i="6"/>
  <c r="J91" i="6" s="1"/>
  <c r="E87" i="6"/>
  <c r="J87" i="6" s="1"/>
  <c r="E83" i="6"/>
  <c r="J83" i="6" s="1"/>
  <c r="E79" i="6"/>
  <c r="J79" i="6" s="1"/>
  <c r="E75" i="6"/>
  <c r="J75" i="6" s="1"/>
  <c r="E71" i="6"/>
  <c r="J71" i="6" s="1"/>
  <c r="E67" i="6"/>
  <c r="J67" i="6" s="1"/>
  <c r="E63" i="6"/>
  <c r="J63" i="6" s="1"/>
  <c r="E59" i="6"/>
  <c r="J59" i="6" s="1"/>
  <c r="E55" i="6"/>
  <c r="J55" i="6" s="1"/>
  <c r="E51" i="6"/>
  <c r="J51" i="6" s="1"/>
  <c r="E47" i="6"/>
  <c r="J47" i="6" s="1"/>
  <c r="E43" i="6"/>
  <c r="J43" i="6" s="1"/>
  <c r="E39" i="6"/>
  <c r="J39" i="6" s="1"/>
  <c r="E35" i="6"/>
  <c r="J35" i="6" s="1"/>
  <c r="E31" i="6"/>
  <c r="J31" i="6" s="1"/>
  <c r="E27" i="6"/>
  <c r="J27" i="6" s="1"/>
  <c r="E23" i="6"/>
  <c r="J23" i="6" s="1"/>
  <c r="E19" i="6"/>
  <c r="J19" i="6" s="1"/>
  <c r="E15" i="6"/>
  <c r="J15" i="6" s="1"/>
  <c r="E11" i="6"/>
  <c r="J11" i="6" s="1"/>
  <c r="E7" i="6"/>
  <c r="J7" i="6" s="1"/>
  <c r="E162" i="6"/>
  <c r="J162" i="6" s="1"/>
  <c r="E158" i="6"/>
  <c r="J158" i="6" s="1"/>
  <c r="E154" i="6"/>
  <c r="J154" i="6" s="1"/>
  <c r="E150" i="6"/>
  <c r="J150" i="6" s="1"/>
  <c r="E146" i="6"/>
  <c r="J146" i="6" s="1"/>
  <c r="E142" i="6"/>
  <c r="J142" i="6" s="1"/>
  <c r="E138" i="6"/>
  <c r="J138" i="6" s="1"/>
  <c r="E134" i="6"/>
  <c r="J134" i="6" s="1"/>
  <c r="E130" i="6"/>
  <c r="J130" i="6" s="1"/>
  <c r="E126" i="6"/>
  <c r="J126" i="6" s="1"/>
  <c r="E122" i="6"/>
  <c r="J122" i="6" s="1"/>
  <c r="E118" i="6"/>
  <c r="J118" i="6" s="1"/>
  <c r="E114" i="6"/>
  <c r="J114" i="6" s="1"/>
  <c r="E110" i="6"/>
  <c r="J110" i="6" s="1"/>
  <c r="E106" i="6"/>
  <c r="J106" i="6" s="1"/>
  <c r="E102" i="6"/>
  <c r="J102" i="6" s="1"/>
  <c r="E98" i="6"/>
  <c r="J98" i="6" s="1"/>
  <c r="E94" i="6"/>
  <c r="J94" i="6" s="1"/>
  <c r="E90" i="6"/>
  <c r="J90" i="6" s="1"/>
  <c r="E86" i="6"/>
  <c r="J86" i="6" s="1"/>
  <c r="E82" i="6"/>
  <c r="J82" i="6" s="1"/>
  <c r="E78" i="6"/>
  <c r="J78" i="6" s="1"/>
  <c r="E74" i="6"/>
  <c r="J74" i="6" s="1"/>
  <c r="E70" i="6"/>
  <c r="J70" i="6" s="1"/>
  <c r="E66" i="6"/>
  <c r="J66" i="6" s="1"/>
  <c r="E62" i="6"/>
  <c r="J62" i="6" s="1"/>
  <c r="E58" i="6"/>
  <c r="J58" i="6" s="1"/>
  <c r="E54" i="6"/>
  <c r="J54" i="6" s="1"/>
  <c r="E50" i="6"/>
  <c r="J50" i="6" s="1"/>
  <c r="E46" i="6"/>
  <c r="J46" i="6" s="1"/>
  <c r="E42" i="6"/>
  <c r="J42" i="6" s="1"/>
  <c r="E38" i="6"/>
  <c r="J38" i="6" s="1"/>
  <c r="E34" i="6"/>
  <c r="J34" i="6" s="1"/>
  <c r="E30" i="6"/>
  <c r="J30" i="6" s="1"/>
  <c r="E26" i="6"/>
  <c r="J26" i="6" s="1"/>
  <c r="E22" i="6"/>
  <c r="J22" i="6" s="1"/>
  <c r="E18" i="6"/>
  <c r="J18" i="6" s="1"/>
  <c r="E14" i="6"/>
  <c r="J14" i="6" s="1"/>
  <c r="E10" i="6"/>
  <c r="J10" i="6" s="1"/>
  <c r="E161" i="6"/>
  <c r="J161" i="6" s="1"/>
  <c r="E157" i="6"/>
  <c r="J157" i="6" s="1"/>
  <c r="E153" i="6"/>
  <c r="J153" i="6" s="1"/>
  <c r="E149" i="6"/>
  <c r="J149" i="6" s="1"/>
  <c r="E145" i="6"/>
  <c r="J145" i="6" s="1"/>
  <c r="E141" i="6"/>
  <c r="J141" i="6" s="1"/>
  <c r="E137" i="6"/>
  <c r="J137" i="6" s="1"/>
  <c r="E133" i="6"/>
  <c r="J133" i="6" s="1"/>
  <c r="E129" i="6"/>
  <c r="J129" i="6" s="1"/>
  <c r="E125" i="6"/>
  <c r="J125" i="6" s="1"/>
  <c r="E121" i="6"/>
  <c r="J121" i="6" s="1"/>
  <c r="E117" i="6"/>
  <c r="J117" i="6" s="1"/>
  <c r="E113" i="6"/>
  <c r="J113" i="6" s="1"/>
  <c r="E109" i="6"/>
  <c r="J109" i="6" s="1"/>
  <c r="E105" i="6"/>
  <c r="J105" i="6" s="1"/>
  <c r="E101" i="6"/>
  <c r="J101" i="6" s="1"/>
  <c r="E97" i="6"/>
  <c r="J97" i="6" s="1"/>
  <c r="E93" i="6"/>
  <c r="J93" i="6" s="1"/>
  <c r="E89" i="6"/>
  <c r="J89" i="6" s="1"/>
  <c r="E85" i="6"/>
  <c r="J85" i="6" s="1"/>
  <c r="E81" i="6"/>
  <c r="J81" i="6" s="1"/>
  <c r="E77" i="6"/>
  <c r="J77" i="6" s="1"/>
  <c r="E73" i="6"/>
  <c r="J73" i="6" s="1"/>
  <c r="E69" i="6"/>
  <c r="J69" i="6" s="1"/>
  <c r="E65" i="6"/>
  <c r="J65" i="6" s="1"/>
  <c r="E61" i="6"/>
  <c r="J61" i="6" s="1"/>
  <c r="E57" i="6"/>
  <c r="J57" i="6" s="1"/>
  <c r="E53" i="6"/>
  <c r="J53" i="6" s="1"/>
  <c r="E49" i="6"/>
  <c r="J49" i="6" s="1"/>
  <c r="E45" i="6"/>
  <c r="J45" i="6" s="1"/>
  <c r="E41" i="6"/>
  <c r="J41" i="6" s="1"/>
  <c r="E37" i="6"/>
  <c r="J37" i="6" s="1"/>
  <c r="E33" i="6"/>
  <c r="J33" i="6" s="1"/>
  <c r="E29" i="6"/>
  <c r="J29" i="6" s="1"/>
  <c r="E25" i="6"/>
  <c r="J25" i="6" s="1"/>
  <c r="E21" i="6"/>
  <c r="J21" i="6" s="1"/>
  <c r="E17" i="6"/>
  <c r="J17" i="6" s="1"/>
  <c r="E13" i="6"/>
  <c r="J13" i="6" s="1"/>
  <c r="E9" i="6"/>
  <c r="J9" i="6" s="1"/>
  <c r="E160" i="6"/>
  <c r="J160" i="6" s="1"/>
  <c r="E156" i="6"/>
  <c r="J156" i="6" s="1"/>
  <c r="E152" i="6"/>
  <c r="J152" i="6" s="1"/>
  <c r="E148" i="6"/>
  <c r="J148" i="6" s="1"/>
  <c r="E144" i="6"/>
  <c r="J144" i="6" s="1"/>
  <c r="E140" i="6"/>
  <c r="J140" i="6" s="1"/>
  <c r="E136" i="6"/>
  <c r="J136" i="6" s="1"/>
  <c r="E132" i="6"/>
  <c r="J132" i="6" s="1"/>
  <c r="E128" i="6"/>
  <c r="J128" i="6" s="1"/>
  <c r="E124" i="6"/>
  <c r="J124" i="6" s="1"/>
  <c r="E120" i="6"/>
  <c r="J120" i="6" s="1"/>
  <c r="E116" i="6"/>
  <c r="J116" i="6" s="1"/>
  <c r="E112" i="6"/>
  <c r="J112" i="6" s="1"/>
  <c r="E108" i="6"/>
  <c r="J108" i="6" s="1"/>
  <c r="E104" i="6"/>
  <c r="J104" i="6" s="1"/>
  <c r="E100" i="6"/>
  <c r="J100" i="6" s="1"/>
  <c r="E96" i="6"/>
  <c r="J96" i="6" s="1"/>
  <c r="E92" i="6"/>
  <c r="J92" i="6" s="1"/>
  <c r="E88" i="6"/>
  <c r="J88" i="6" s="1"/>
  <c r="E84" i="6"/>
  <c r="J84" i="6" s="1"/>
  <c r="E80" i="6"/>
  <c r="J80" i="6" s="1"/>
  <c r="E76" i="6"/>
  <c r="J76" i="6" s="1"/>
  <c r="E72" i="6"/>
  <c r="J72" i="6" s="1"/>
  <c r="E68" i="6"/>
  <c r="J68" i="6" s="1"/>
  <c r="E64" i="6"/>
  <c r="J64" i="6" s="1"/>
  <c r="E60" i="6"/>
  <c r="J60" i="6" s="1"/>
  <c r="E56" i="6"/>
  <c r="J56" i="6" s="1"/>
  <c r="E52" i="6"/>
  <c r="J52" i="6" s="1"/>
  <c r="E48" i="6"/>
  <c r="J48" i="6" s="1"/>
  <c r="E44" i="6"/>
  <c r="J44" i="6" s="1"/>
  <c r="E40" i="6"/>
  <c r="J40" i="6" s="1"/>
  <c r="E36" i="6"/>
  <c r="J36" i="6" s="1"/>
  <c r="E32" i="6"/>
  <c r="J32" i="6" s="1"/>
  <c r="E28" i="6"/>
  <c r="J28" i="6" s="1"/>
  <c r="E24" i="6"/>
  <c r="J24" i="6" s="1"/>
  <c r="E20" i="6"/>
  <c r="J20" i="6" s="1"/>
  <c r="E16" i="6"/>
  <c r="J16" i="6" s="1"/>
  <c r="E12" i="6"/>
  <c r="J12" i="6" s="1"/>
  <c r="E8" i="6"/>
  <c r="J8" i="6" s="1"/>
  <c r="E4" i="6"/>
  <c r="J4" i="6" s="1"/>
  <c r="E5" i="6"/>
  <c r="J5" i="6" s="1"/>
  <c r="E47" i="2"/>
  <c r="E48" i="2" s="1"/>
  <c r="E49" i="2" s="1"/>
  <c r="E41" i="2"/>
  <c r="E42" i="2" s="1"/>
  <c r="E43" i="2" s="1"/>
  <c r="E44" i="2" s="1"/>
  <c r="E45" i="2" s="1"/>
  <c r="B28" i="2"/>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K33" i="6" l="1"/>
  <c r="K113" i="6"/>
  <c r="K13" i="6"/>
  <c r="K93" i="6"/>
  <c r="K83" i="6"/>
  <c r="K53" i="6"/>
  <c r="K133" i="6"/>
  <c r="K43" i="6"/>
  <c r="K123" i="6"/>
  <c r="K23" i="6"/>
  <c r="K103" i="6"/>
  <c r="K73" i="6"/>
  <c r="K153" i="6"/>
  <c r="K63" i="6"/>
  <c r="K143" i="6"/>
  <c r="M4" i="6"/>
  <c r="M5" i="6"/>
  <c r="M6" i="6"/>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3" i="6"/>
  <c r="N3" i="6" l="1"/>
  <c r="J12" i="9" s="1"/>
  <c r="N73" i="6"/>
  <c r="O73" i="6" s="1"/>
  <c r="N33" i="6"/>
  <c r="O33" i="6" s="1"/>
  <c r="N23" i="6"/>
  <c r="O23" i="6" s="1"/>
  <c r="N113" i="6"/>
  <c r="O113" i="6" s="1"/>
  <c r="N83" i="6"/>
  <c r="O83" i="6" s="1"/>
  <c r="N103" i="6"/>
  <c r="O103" i="6" s="1"/>
  <c r="N123" i="6"/>
  <c r="O123" i="6" s="1"/>
  <c r="N63" i="6"/>
  <c r="O63" i="6" s="1"/>
  <c r="N43" i="6"/>
  <c r="O43" i="6" s="1"/>
  <c r="N153" i="6"/>
  <c r="O153" i="6" s="1"/>
  <c r="N93" i="6"/>
  <c r="O93" i="6" s="1"/>
  <c r="N53" i="6"/>
  <c r="O53" i="6" s="1"/>
  <c r="N13" i="6"/>
  <c r="O13" i="6" s="1"/>
  <c r="N143" i="6"/>
  <c r="O143" i="6" s="1"/>
  <c r="N133" i="6"/>
  <c r="O133" i="6" s="1"/>
  <c r="M18" i="10"/>
  <c r="O19" i="10"/>
  <c r="O18" i="10"/>
  <c r="O17" i="10"/>
  <c r="N5" i="10"/>
  <c r="N6" i="10"/>
  <c r="N7" i="10"/>
  <c r="N8" i="10"/>
  <c r="N9" i="10"/>
  <c r="N10" i="10"/>
  <c r="N11" i="10"/>
  <c r="N12" i="10"/>
  <c r="N13" i="10"/>
  <c r="N14" i="10"/>
  <c r="N15" i="10"/>
  <c r="N16" i="10"/>
  <c r="N4" i="10"/>
  <c r="J13" i="9" l="1"/>
  <c r="J11" i="9" s="1"/>
  <c r="E6" i="6"/>
  <c r="J6" i="6" s="1"/>
  <c r="B14" i="10"/>
  <c r="B5" i="10"/>
  <c r="H42" i="4"/>
  <c r="H43" i="4"/>
  <c r="H44" i="4"/>
  <c r="H45" i="4"/>
  <c r="H46" i="4"/>
  <c r="H41" i="4"/>
  <c r="H31" i="4"/>
  <c r="H32" i="4"/>
  <c r="H33" i="4"/>
  <c r="H27" i="4"/>
  <c r="H28" i="4"/>
  <c r="H29" i="4"/>
  <c r="H30" i="4"/>
  <c r="H14" i="4"/>
  <c r="H15" i="4"/>
  <c r="H16" i="4"/>
  <c r="H17" i="4"/>
  <c r="H18" i="4"/>
  <c r="H19" i="4"/>
  <c r="H20" i="4"/>
  <c r="H21" i="4"/>
  <c r="H22" i="4"/>
  <c r="H23" i="4"/>
  <c r="H24" i="4"/>
  <c r="H25" i="4"/>
  <c r="H26" i="4"/>
  <c r="H34" i="4"/>
  <c r="H35" i="4"/>
  <c r="H36" i="4"/>
  <c r="H37" i="4"/>
  <c r="H38" i="4"/>
  <c r="H13" i="4"/>
  <c r="H4" i="4"/>
  <c r="H5" i="4"/>
  <c r="H6" i="4"/>
  <c r="H7" i="4"/>
  <c r="H8" i="4"/>
  <c r="H9" i="4"/>
  <c r="H10" i="4"/>
  <c r="H3" i="4"/>
  <c r="M197" i="8"/>
  <c r="M198" i="8"/>
  <c r="M200" i="8"/>
  <c r="M201" i="8"/>
  <c r="M202" i="8"/>
  <c r="M191" i="8"/>
  <c r="M190" i="8"/>
  <c r="M188" i="8"/>
  <c r="M187" i="8"/>
  <c r="M186" i="8"/>
  <c r="M182" i="8"/>
  <c r="M181" i="8"/>
  <c r="M180" i="8"/>
  <c r="M179" i="8"/>
  <c r="M178" i="8"/>
  <c r="M177" i="8"/>
  <c r="M176" i="8"/>
  <c r="M174" i="8"/>
  <c r="M173" i="8"/>
  <c r="M172" i="8"/>
  <c r="M171" i="8"/>
  <c r="M169" i="8"/>
  <c r="M168" i="8"/>
  <c r="M167" i="8"/>
  <c r="M166" i="8"/>
  <c r="M165" i="8"/>
  <c r="M164" i="8"/>
  <c r="M163" i="8"/>
  <c r="M162" i="8"/>
  <c r="M157" i="8"/>
  <c r="M156" i="8"/>
  <c r="M154" i="8"/>
  <c r="M153" i="8"/>
  <c r="M152" i="8"/>
  <c r="M150" i="8"/>
  <c r="M149" i="8"/>
  <c r="M148" i="8"/>
  <c r="M147" i="8"/>
  <c r="M146" i="8"/>
  <c r="M145" i="8"/>
  <c r="M144" i="8"/>
  <c r="M139" i="8"/>
  <c r="M138" i="8"/>
  <c r="M136" i="8"/>
  <c r="M135" i="8"/>
  <c r="M134" i="8"/>
  <c r="M133" i="8"/>
  <c r="M132" i="8"/>
  <c r="M131" i="8"/>
  <c r="M130" i="8"/>
  <c r="M128" i="8"/>
  <c r="M126" i="8"/>
  <c r="M75" i="8"/>
  <c r="M76" i="8"/>
  <c r="M77" i="8"/>
  <c r="M79" i="8"/>
  <c r="M81" i="8"/>
  <c r="M82" i="8"/>
  <c r="M83" i="8"/>
  <c r="M85" i="8"/>
  <c r="M86" i="8"/>
  <c r="M87" i="8"/>
  <c r="M88" i="8"/>
  <c r="M89" i="8"/>
  <c r="M90" i="8"/>
  <c r="M91" i="8"/>
  <c r="M92" i="8"/>
  <c r="M93" i="8"/>
  <c r="M94" i="8"/>
  <c r="M95" i="8"/>
  <c r="M96" i="8"/>
  <c r="M97" i="8"/>
  <c r="M98" i="8"/>
  <c r="M99" i="8"/>
  <c r="M100" i="8"/>
  <c r="M101" i="8"/>
  <c r="M102" i="8"/>
  <c r="M103" i="8"/>
  <c r="M104" i="8"/>
  <c r="M105" i="8"/>
  <c r="M106" i="8"/>
  <c r="M107" i="8"/>
  <c r="M108" i="8"/>
  <c r="M109" i="8"/>
  <c r="M110" i="8"/>
  <c r="M111" i="8"/>
  <c r="M112" i="8"/>
  <c r="M113" i="8"/>
  <c r="M114" i="8"/>
  <c r="M115" i="8"/>
  <c r="M116" i="8"/>
  <c r="M117" i="8"/>
  <c r="M118" i="8"/>
  <c r="M119" i="8"/>
  <c r="M120" i="8"/>
  <c r="M121" i="8"/>
  <c r="E24" i="16" l="1"/>
  <c r="M24" i="16" s="1"/>
  <c r="E22" i="16"/>
  <c r="M22" i="16" s="1"/>
  <c r="B1" i="10"/>
  <c r="M69" i="8"/>
  <c r="C38" i="4"/>
  <c r="C37" i="4"/>
  <c r="C29" i="4"/>
  <c r="C28" i="4"/>
  <c r="C30" i="4"/>
  <c r="C27" i="4"/>
  <c r="C26" i="4"/>
  <c r="C25" i="4"/>
  <c r="C36" i="4"/>
  <c r="M9" i="8"/>
  <c r="M199" i="8"/>
  <c r="M196" i="8"/>
  <c r="M189" i="8"/>
  <c r="M7" i="8" s="1"/>
  <c r="M137" i="8"/>
  <c r="M84" i="8"/>
  <c r="M80" i="8"/>
  <c r="E66" i="8"/>
  <c r="E65" i="8"/>
  <c r="E64" i="8"/>
  <c r="E63" i="8"/>
  <c r="E62" i="8"/>
  <c r="D54" i="8"/>
  <c r="C54" i="8"/>
  <c r="C53" i="8"/>
  <c r="C52" i="8"/>
  <c r="E52" i="8" s="1"/>
  <c r="C47" i="8"/>
  <c r="D43" i="8"/>
  <c r="C43" i="8"/>
  <c r="E42" i="8"/>
  <c r="C41" i="8"/>
  <c r="D40" i="8"/>
  <c r="C40" i="8"/>
  <c r="D39" i="8"/>
  <c r="E39" i="8" s="1"/>
  <c r="D38" i="8"/>
  <c r="C38" i="8"/>
  <c r="C33" i="8"/>
  <c r="D32" i="8"/>
  <c r="C32" i="8"/>
  <c r="C31" i="8"/>
  <c r="E26" i="8"/>
  <c r="E25" i="8"/>
  <c r="E24" i="8"/>
  <c r="D23" i="8"/>
  <c r="C23" i="8"/>
  <c r="C22" i="8"/>
  <c r="C21" i="8"/>
  <c r="D20" i="8"/>
  <c r="D21" i="8" s="1"/>
  <c r="J21" i="8" s="1"/>
  <c r="C20" i="8"/>
  <c r="D15" i="8"/>
  <c r="C15" i="8"/>
  <c r="D14" i="8"/>
  <c r="C14" i="8"/>
  <c r="D13" i="8"/>
  <c r="C13" i="8"/>
  <c r="D12" i="8"/>
  <c r="C12" i="8"/>
  <c r="D11" i="8"/>
  <c r="C11" i="8"/>
  <c r="E19" i="16" l="1"/>
  <c r="M19" i="16" s="1"/>
  <c r="E17" i="16"/>
  <c r="M17" i="16" s="1"/>
  <c r="E23" i="16"/>
  <c r="M23" i="16" s="1"/>
  <c r="E18" i="16"/>
  <c r="M18" i="16" s="1"/>
  <c r="E20" i="16"/>
  <c r="M20" i="16" s="1"/>
  <c r="E21" i="16"/>
  <c r="M21" i="16" s="1"/>
  <c r="E25" i="16"/>
  <c r="M25" i="16" s="1"/>
  <c r="E3" i="6"/>
  <c r="J3" i="6" s="1"/>
  <c r="K3" i="6" s="1"/>
  <c r="J10" i="9" s="1"/>
  <c r="J5" i="9"/>
  <c r="I5" i="9" s="1"/>
  <c r="K5" i="9" s="1"/>
  <c r="J18" i="9" s="1"/>
  <c r="J23" i="9"/>
  <c r="I23" i="9" s="1"/>
  <c r="M8" i="8"/>
  <c r="E13" i="8"/>
  <c r="E32" i="8"/>
  <c r="E12" i="8"/>
  <c r="M129" i="8"/>
  <c r="M4" i="8" s="1"/>
  <c r="E43" i="8"/>
  <c r="E54" i="8"/>
  <c r="E20" i="8"/>
  <c r="D22" i="8"/>
  <c r="J22" i="8" s="1"/>
  <c r="E15" i="8"/>
  <c r="E11" i="8"/>
  <c r="E14" i="8"/>
  <c r="E38" i="8"/>
  <c r="E40" i="8"/>
  <c r="E21" i="8"/>
  <c r="M151" i="8"/>
  <c r="M155" i="8"/>
  <c r="M175" i="8"/>
  <c r="M78" i="8"/>
  <c r="E23" i="8"/>
  <c r="M74" i="8"/>
  <c r="M170" i="8"/>
  <c r="M45" i="16" l="1"/>
  <c r="O3" i="6"/>
  <c r="M3" i="8"/>
  <c r="M5" i="8"/>
  <c r="J26" i="9"/>
  <c r="J25" i="9"/>
  <c r="J24" i="9"/>
  <c r="M6" i="8"/>
  <c r="E22" i="8"/>
  <c r="M2" i="8" l="1"/>
  <c r="F51" i="4"/>
  <c r="C32" i="4"/>
  <c r="C35" i="4"/>
  <c r="C34" i="4"/>
  <c r="C33" i="4"/>
  <c r="C31" i="4"/>
  <c r="J14" i="9" l="1"/>
  <c r="F7" i="3"/>
  <c r="F8" i="3" l="1"/>
  <c r="F9" i="3" l="1"/>
  <c r="E17" i="3"/>
  <c r="E16" i="3"/>
  <c r="E15" i="3"/>
  <c r="E14" i="3"/>
  <c r="E13" i="3"/>
  <c r="E11" i="3"/>
  <c r="E10" i="3"/>
  <c r="E9" i="3"/>
  <c r="E8" i="3"/>
  <c r="E7" i="3"/>
  <c r="F10" i="3" l="1"/>
  <c r="F11" i="3" l="1"/>
  <c r="E7" i="2"/>
  <c r="E8" i="2"/>
  <c r="E9" i="2"/>
  <c r="E10" i="2"/>
  <c r="E11" i="2"/>
  <c r="E12" i="2"/>
  <c r="E13" i="2"/>
  <c r="E14" i="2"/>
  <c r="E15" i="2"/>
  <c r="E16" i="2"/>
  <c r="E17" i="2"/>
  <c r="E18" i="2"/>
  <c r="E19" i="2"/>
  <c r="E3" i="2"/>
  <c r="F5" i="7"/>
  <c r="F6" i="7"/>
  <c r="F7" i="7"/>
  <c r="F8" i="7"/>
  <c r="F9" i="7"/>
  <c r="F10" i="7"/>
  <c r="F11" i="7"/>
  <c r="F12" i="7"/>
  <c r="F13" i="7"/>
  <c r="F14" i="7"/>
  <c r="F15" i="7"/>
  <c r="F16" i="7"/>
  <c r="F17" i="7"/>
  <c r="F18" i="7"/>
  <c r="F4" i="7"/>
  <c r="F12" i="3" l="1"/>
  <c r="C24" i="4"/>
  <c r="C23" i="4"/>
  <c r="C22" i="4"/>
  <c r="C21" i="4"/>
  <c r="C20" i="4"/>
  <c r="C19" i="4"/>
  <c r="C18" i="4"/>
  <c r="C17" i="4"/>
  <c r="C16" i="4"/>
  <c r="C15" i="4"/>
  <c r="C44" i="4"/>
  <c r="C46" i="4"/>
  <c r="C45" i="4"/>
  <c r="C43" i="4"/>
  <c r="C42" i="4"/>
  <c r="C41" i="4"/>
  <c r="C12" i="4"/>
  <c r="C11" i="4"/>
  <c r="C6" i="4"/>
  <c r="F13" i="3" l="1"/>
  <c r="J15" i="9"/>
  <c r="J16" i="9" s="1"/>
  <c r="C4" i="4"/>
  <c r="C5" i="4"/>
  <c r="C7" i="4"/>
  <c r="C8" i="4"/>
  <c r="C9" i="4"/>
  <c r="C10" i="4"/>
  <c r="C13" i="4"/>
  <c r="C14" i="4"/>
  <c r="F14" i="3" l="1"/>
  <c r="J17" i="9"/>
  <c r="K2" i="9" s="1"/>
  <c r="C3" i="4"/>
  <c r="F15" i="3" l="1"/>
  <c r="F16" i="3" l="1"/>
  <c r="M48" i="16" l="1"/>
  <c r="M49" i="16" l="1"/>
  <c r="M50" i="16" s="1"/>
  <c r="E51" i="16" l="1"/>
  <c r="J52" i="16" s="1"/>
</calcChain>
</file>

<file path=xl/comments1.xml><?xml version="1.0" encoding="utf-8"?>
<comments xmlns="http://schemas.openxmlformats.org/spreadsheetml/2006/main">
  <authors>
    <author>Misael Enrique Araujo Diaz</author>
  </authors>
  <commentList>
    <comment ref="A16" authorId="0" shapeId="0">
      <text>
        <r>
          <rPr>
            <b/>
            <sz val="9"/>
            <color indexed="81"/>
            <rFont val="Tahoma"/>
            <family val="2"/>
          </rPr>
          <t>Misael Enrique Araujo Diaz:</t>
        </r>
        <r>
          <rPr>
            <sz val="9"/>
            <color indexed="81"/>
            <rFont val="Tahoma"/>
            <family val="2"/>
          </rPr>
          <t xml:space="preserve">
Resolución 2613 del 29 de diciembre de 2009</t>
        </r>
      </text>
    </comment>
  </commentList>
</comments>
</file>

<file path=xl/comments2.xml><?xml version="1.0" encoding="utf-8"?>
<comments xmlns="http://schemas.openxmlformats.org/spreadsheetml/2006/main">
  <authors>
    <author>Jairo Andres Agudelo  Arredondo</author>
  </authors>
  <commentList>
    <comment ref="F26" authorId="0" shapeId="0">
      <text>
        <r>
          <rPr>
            <b/>
            <sz val="9"/>
            <color indexed="81"/>
            <rFont val="Tahoma"/>
            <family val="2"/>
          </rPr>
          <t>Jairo Andres Agudelo  Arredondo:</t>
        </r>
        <r>
          <rPr>
            <sz val="9"/>
            <color indexed="81"/>
            <rFont val="Tahoma"/>
            <family val="2"/>
          </rPr>
          <t xml:space="preserve">
Tomado del anexo 1 de la Resolución MADS 0146 del 21-02-2023 que modifica la tabla de honorarios de la resolución 006-2023</t>
        </r>
      </text>
    </comment>
    <comment ref="G26" authorId="0" shapeId="0">
      <text>
        <r>
          <rPr>
            <b/>
            <sz val="9"/>
            <color indexed="81"/>
            <rFont val="Tahoma"/>
            <family val="2"/>
          </rPr>
          <t>Jairo Andres Agudelo  Arredondo:</t>
        </r>
        <r>
          <rPr>
            <sz val="9"/>
            <color indexed="81"/>
            <rFont val="Tahoma"/>
            <family val="2"/>
          </rPr>
          <t xml:space="preserve">
El incremento se calcula acorde al IPC del año 2023, 2024 y 2025. Ya que la resolución es de febrero de 2023</t>
        </r>
      </text>
    </comment>
  </commentList>
</comments>
</file>

<file path=xl/sharedStrings.xml><?xml version="1.0" encoding="utf-8"?>
<sst xmlns="http://schemas.openxmlformats.org/spreadsheetml/2006/main" count="1136" uniqueCount="748">
  <si>
    <t>DENOMINACION DE CARGOS</t>
  </si>
  <si>
    <t>NIVEL</t>
  </si>
  <si>
    <t>CODIGO</t>
  </si>
  <si>
    <t>GRADO SALARIAL</t>
  </si>
  <si>
    <t>ASIGNACION BASICA 2018</t>
  </si>
  <si>
    <t>DIRECTOR GENERAL</t>
  </si>
  <si>
    <t>DIRECTIVO</t>
  </si>
  <si>
    <t>SUBDIRECTOR</t>
  </si>
  <si>
    <t>JEFE DE OFICINA</t>
  </si>
  <si>
    <t>ASESOR</t>
  </si>
  <si>
    <t>PROFESIONAL ESPECIALIZADO</t>
  </si>
  <si>
    <t>PROFESIONAL</t>
  </si>
  <si>
    <t>PROFESIONAL UNIVERSITARIO</t>
  </si>
  <si>
    <t>TECNICO ADMINISTRATIVO</t>
  </si>
  <si>
    <t>TECNICO</t>
  </si>
  <si>
    <t>SECRETARIA EJECUTIVA</t>
  </si>
  <si>
    <t>ASISTENCIAL</t>
  </si>
  <si>
    <t>SECRETARIA</t>
  </si>
  <si>
    <t>OPERARIOS CALIFICADOS</t>
  </si>
  <si>
    <t>AUXILIAR SERVICIOS GENERAL</t>
  </si>
  <si>
    <t>Tabla de viaticos</t>
  </si>
  <si>
    <t xml:space="preserve">COMISIONES DE SERVICIO EN EL INTERIOR DEL PAÍS </t>
  </si>
  <si>
    <t>REMUNERACIÓN MENSUAL</t>
  </si>
  <si>
    <t>DE $</t>
  </si>
  <si>
    <t>HASTA $</t>
  </si>
  <si>
    <t>En adelante</t>
  </si>
  <si>
    <t>Apartado</t>
  </si>
  <si>
    <t>Carepa</t>
  </si>
  <si>
    <t>Chigorodó</t>
  </si>
  <si>
    <t>Mutatá</t>
  </si>
  <si>
    <t>Dabeiba</t>
  </si>
  <si>
    <t>Uramita</t>
  </si>
  <si>
    <t>Cañasgorda</t>
  </si>
  <si>
    <t>Frontino</t>
  </si>
  <si>
    <t>Urrao</t>
  </si>
  <si>
    <t>Turbo</t>
  </si>
  <si>
    <t>Necocli</t>
  </si>
  <si>
    <t>Arboletes</t>
  </si>
  <si>
    <t>San Pedro</t>
  </si>
  <si>
    <t>ida y vuelta</t>
  </si>
  <si>
    <t>un trayecto</t>
  </si>
  <si>
    <t>Origen</t>
  </si>
  <si>
    <t>Destino</t>
  </si>
  <si>
    <t>Manglar</t>
  </si>
  <si>
    <t>Pinguro</t>
  </si>
  <si>
    <t>Rio Verde</t>
  </si>
  <si>
    <t>Cajòn</t>
  </si>
  <si>
    <t>Pital</t>
  </si>
  <si>
    <t>Santa Teresa</t>
  </si>
  <si>
    <t>Totumo</t>
  </si>
  <si>
    <t>Fluvial</t>
  </si>
  <si>
    <t>Brisas</t>
  </si>
  <si>
    <t>Bajirá</t>
  </si>
  <si>
    <t>Murindo</t>
  </si>
  <si>
    <t>vigia</t>
  </si>
  <si>
    <t>Golfo</t>
  </si>
  <si>
    <t>Rio Leon</t>
  </si>
  <si>
    <t>Caños</t>
  </si>
  <si>
    <t>Día</t>
  </si>
  <si>
    <t>Giraldo</t>
  </si>
  <si>
    <t>Peque</t>
  </si>
  <si>
    <t>Viaticos diarios</t>
  </si>
  <si>
    <t>Decreto 330 del 19 de febrero 2018</t>
  </si>
  <si>
    <t>Vr hora</t>
  </si>
  <si>
    <t>DENOMINACION</t>
  </si>
  <si>
    <t>GRADO</t>
  </si>
  <si>
    <t xml:space="preserve">ASESOR  </t>
  </si>
  <si>
    <t xml:space="preserve">NIVEL ASESOR </t>
  </si>
  <si>
    <t>NIVEL PROFESIONAL</t>
  </si>
  <si>
    <t>NIVEL TECNICO</t>
  </si>
  <si>
    <t>NIVEL ASISTENCIAL</t>
  </si>
  <si>
    <t>Valor Total</t>
  </si>
  <si>
    <t>VIÁTICOS DIARIOS EN PESOS</t>
  </si>
  <si>
    <t>items</t>
  </si>
  <si>
    <t>Salario</t>
  </si>
  <si>
    <t>25% no pernotado</t>
  </si>
  <si>
    <t>Item</t>
  </si>
  <si>
    <t>Tabla viaticos por cargo</t>
  </si>
  <si>
    <t>Corregimientos</t>
  </si>
  <si>
    <t>en mula</t>
  </si>
  <si>
    <t>Medellin</t>
  </si>
  <si>
    <t>Taxi</t>
  </si>
  <si>
    <t>Corregimientos - veredas</t>
  </si>
  <si>
    <t>Santa fé</t>
  </si>
  <si>
    <t>día Recorrido monitoreo</t>
  </si>
  <si>
    <t>Viaje día camioneta</t>
  </si>
  <si>
    <t>Costos</t>
  </si>
  <si>
    <t>Total gastos transporte</t>
  </si>
  <si>
    <t>Otros gastos de viaje</t>
  </si>
  <si>
    <t>Total Gastos de viaje</t>
  </si>
  <si>
    <t xml:space="preserve">LISTA DE TARIFA DE SERVICIOS </t>
  </si>
  <si>
    <t>Corporación para el Desarrollo Sostenible del Urabá</t>
  </si>
  <si>
    <t>Código: D-FC-01</t>
  </si>
  <si>
    <t>Versión: 25</t>
  </si>
  <si>
    <t>Revisó: Sub. Administrativa y Financiera</t>
  </si>
  <si>
    <t>Aprobó: Director (a) General</t>
  </si>
  <si>
    <t>Fecha: 7 de marzo de 2018</t>
  </si>
  <si>
    <t>Resolución: 300-03-10-23-0331-2018</t>
  </si>
  <si>
    <t>Páginas: 1 de 10</t>
  </si>
  <si>
    <t>IPC</t>
  </si>
  <si>
    <t>1. TARIFAS APLICACIÓN DE LA AUTORIDAD AMBIENTAL</t>
  </si>
  <si>
    <t>Tarifa IVA</t>
  </si>
  <si>
    <t>CONCESION DE AGUAS SUPERFICIALES-SUBTERRANEAS</t>
  </si>
  <si>
    <t>TARIFA DERECHOS DE PUBLICACION</t>
  </si>
  <si>
    <t>TARIFA DE SERVICIOS</t>
  </si>
  <si>
    <t>TOTAL A LIQUIDAR AL USUARIO</t>
  </si>
  <si>
    <t>Concesión de aguas</t>
  </si>
  <si>
    <t>Ocupación de Cauces</t>
  </si>
  <si>
    <t>Permiso de Perforación de Pozos</t>
  </si>
  <si>
    <t>Permiso de Vertimientos</t>
  </si>
  <si>
    <t>Viabilidad Ambiental</t>
  </si>
  <si>
    <t>VISITAS TECNICAS, APROVECHAMIENTO FORESTAL</t>
  </si>
  <si>
    <t xml:space="preserve">TARIFA DERECHOS DE PUBLICACION </t>
  </si>
  <si>
    <t xml:space="preserve">TARIFA DE SERVICIOS </t>
  </si>
  <si>
    <t>Aprovechamientos Forestales</t>
  </si>
  <si>
    <t>Visita Técnica de un (1) día</t>
  </si>
  <si>
    <t>Visita Técnica de dos (2) días</t>
  </si>
  <si>
    <t>Visita Técnica de tres (3) días</t>
  </si>
  <si>
    <t>Registro Libro de Operaciones</t>
  </si>
  <si>
    <t>Aprovechamiento Forestal domestico</t>
  </si>
  <si>
    <t>Nuevo</t>
  </si>
  <si>
    <t>Aprovechamiento de productos de la flora silvestre con fines comerciales</t>
  </si>
  <si>
    <t>Registro de plantaciones Forestales</t>
  </si>
  <si>
    <r>
      <t>PARAGRAFO 1</t>
    </r>
    <r>
      <rPr>
        <sz val="11"/>
        <rFont val="Verdana"/>
        <family val="2"/>
      </rPr>
      <t xml:space="preserve">.  El aprovechamiento forestal incluye el persistente, único y de árboles aislados.  </t>
    </r>
  </si>
  <si>
    <t>Revisar con DD</t>
  </si>
  <si>
    <r>
      <t>PARAGRAFO 2</t>
    </r>
    <r>
      <rPr>
        <sz val="11"/>
        <rFont val="Verdana"/>
        <family val="2"/>
      </rPr>
      <t>.  Para el caso de los aprovechamientos  de árboles aislados por tema de riesgos no tendrá ningún cobro.</t>
    </r>
  </si>
  <si>
    <t>LICENCIAS AMBIENTALES Y PLANES DE MANEJO</t>
  </si>
  <si>
    <t>Licencias Ambientales</t>
  </si>
  <si>
    <t>Ver Parágrafo 3</t>
  </si>
  <si>
    <t>Planes de Manejo Ambiental</t>
  </si>
  <si>
    <t>Levantamiento de Veda</t>
  </si>
  <si>
    <t>Evaluación de DAA</t>
  </si>
  <si>
    <r>
      <t>PARAGRAFO 3</t>
    </r>
    <r>
      <rPr>
        <sz val="11"/>
        <rFont val="Verdana"/>
        <family val="2"/>
      </rPr>
      <t>.  El valor de la evaluación o tarifa de servicios se establecerá una vez se haya revisado toda la documentación. Esta evaluación se desarrollará con base en la Ley 633 de diciembre de 2000.</t>
    </r>
  </si>
  <si>
    <t>PERMISO DE EMISIONES Y OTROS</t>
  </si>
  <si>
    <t>Permisos de Emisiones Atmosféricas</t>
  </si>
  <si>
    <t>Conceptos de Carácter Ambiental</t>
  </si>
  <si>
    <t>Modificado</t>
  </si>
  <si>
    <t>Implementación Guías Ambientales</t>
  </si>
  <si>
    <t>Permisos de Estudio (Del Recurso Hídrico, de Diversidad Biológica y Estudios Ambientales)</t>
  </si>
  <si>
    <t>Ver Parágrafo 4</t>
  </si>
  <si>
    <t>Plan de contingencias para almacenamiento y transporte de sustancias peligrosas- e hidrocarburos</t>
  </si>
  <si>
    <t>Otros permisos, concesiones o autorizaciones no contempladas</t>
  </si>
  <si>
    <r>
      <t>PARAGRAFO 4</t>
    </r>
    <r>
      <rPr>
        <sz val="11"/>
        <rFont val="Verdana"/>
        <family val="2"/>
      </rPr>
      <t xml:space="preserve">. El valor se establecerá una vez se haya revisado la documentación y definido el número de profesionales y de visitas que se requieren para la evaluación del trámite.  </t>
    </r>
  </si>
  <si>
    <t>PROCESO SANCIONATORIO</t>
  </si>
  <si>
    <t>Procesos Sancionatorios</t>
  </si>
  <si>
    <t>Ver Parágrafo 5</t>
  </si>
  <si>
    <r>
      <t>PARÁGRAFO 5.</t>
    </r>
    <r>
      <rPr>
        <sz val="11"/>
        <rFont val="Verdana"/>
        <family val="2"/>
      </rPr>
      <t xml:space="preserve"> En los trámites sancionatorios el valor de la multa se establecerá de acuerdo con la infracción cometida, por tanto se cobrará cuando se decida el trámite con base en la normatividad vigente.</t>
    </r>
  </si>
  <si>
    <t>Prque dice Diana que hay que eliminar?</t>
  </si>
  <si>
    <t>VISITAS TECNICAS DE SEGUIMIENTO A TRAMITES</t>
  </si>
  <si>
    <t>Plan de manejo Ambiental</t>
  </si>
  <si>
    <t>Licencia Ambiental</t>
  </si>
  <si>
    <t>Ver Parágrafo 6</t>
  </si>
  <si>
    <t>Permisos, Autorizaciones y Concesiones</t>
  </si>
  <si>
    <r>
      <t>PARAGRAFO 6.</t>
    </r>
    <r>
      <rPr>
        <sz val="11"/>
        <rFont val="Verdana"/>
        <family val="2"/>
      </rPr>
      <t xml:space="preserve">  En Licencias Ambientales el valor del seguimiento se establecerá una vez se haya revisado la documentación y definido el número de profesionales y de visitas que se requieren para la evaluación del trámite. </t>
    </r>
  </si>
  <si>
    <r>
      <t>PARAGRAFO 7.</t>
    </r>
    <r>
      <rPr>
        <sz val="11"/>
        <rFont val="Verdana"/>
        <family val="2"/>
      </rPr>
      <t xml:space="preserve">  La evaluación y seguimiento de Planes de saneamiento y manejo de vertimientos y Programas  de ahorro y uso eficiente del agua, se encuentran incluidos en las obligaciones de seguimiento de Permisos de vertimientos y de Concesiones de agua, por lo que están incluidos en el cobro del seguimiento de Permiso, Autorizaciones y Concesiones</t>
    </r>
  </si>
  <si>
    <r>
      <t>PARAGRAFO 8.</t>
    </r>
    <r>
      <rPr>
        <sz val="11"/>
        <rFont val="Verdana"/>
        <family val="2"/>
      </rPr>
      <t xml:space="preserve">  La evaluación de solicitudes de modificación de licencias ambientales, planes de manejo ambiental y demás permisos, Autorizaciones y Concesiones, se cobrara conforme a las directrices de la Ley 633 de 2000.</t>
    </r>
  </si>
  <si>
    <t>2.  SALVOCONDUCTOS</t>
  </si>
  <si>
    <t>SALVOCONDUCTOS</t>
  </si>
  <si>
    <t>TARIFA</t>
  </si>
  <si>
    <t>Movilización Metro Cúbico (M3) en bruto</t>
  </si>
  <si>
    <t>Removilización Vehículo Sencillo</t>
  </si>
  <si>
    <t>Removilización Vehículo Doble Troque</t>
  </si>
  <si>
    <t>Removilización Vehículo Cuatro Manos</t>
  </si>
  <si>
    <t>Papelería - Ver parágrafo 11</t>
  </si>
  <si>
    <r>
      <t>PARÁGRAFO 9</t>
    </r>
    <r>
      <rPr>
        <sz val="11"/>
        <rFont val="Verdana"/>
        <family val="2"/>
      </rPr>
      <t xml:space="preserve">: Para la movilización de hojas de palma, varas de guadua y carbón se realizará cobro del valor del salvoconducto exclusivamente. </t>
    </r>
  </si>
  <si>
    <r>
      <t>PARAGRAFO 10</t>
    </r>
    <r>
      <rPr>
        <sz val="11"/>
        <rFont val="Verdana"/>
        <family val="2"/>
      </rPr>
      <t>: Para los casos de re movilización de madera con un volumen superior a 100 m3 en bruto, el costo de re movilización por metro cubico en bruto será de $300 adicional.</t>
    </r>
  </si>
  <si>
    <t>3.  LABORATORIO ANALISIS DE AGUA</t>
  </si>
  <si>
    <t xml:space="preserve">QUÍMICOS </t>
  </si>
  <si>
    <t>Parámetro/Método Analítico</t>
  </si>
  <si>
    <t>Valor servicio</t>
  </si>
  <si>
    <t>IVA 19%</t>
  </si>
  <si>
    <t>Acidez total. Titulométrico.</t>
  </si>
  <si>
    <t>Carbonatos. Titulométrico.</t>
  </si>
  <si>
    <t>Bicarbonatos. Titulométrico.</t>
  </si>
  <si>
    <t>Alcalinidad Total. Titulométrico.</t>
  </si>
  <si>
    <t>Aluminio. Colorimétrico.</t>
  </si>
  <si>
    <t>Bromuros. Cromatográfico.</t>
  </si>
  <si>
    <t>Calcio. Titulométrico.</t>
  </si>
  <si>
    <t>Calcio. Cromatográfico.</t>
  </si>
  <si>
    <t>Calcio. Absorción Atómica</t>
  </si>
  <si>
    <t>Carbono Orgánico Total - COT. Combustión alta temperatura</t>
  </si>
  <si>
    <t>Cloro Residual Total. Titulométrico.</t>
  </si>
  <si>
    <t>Cloro Residual libre. Titulométrico.</t>
  </si>
  <si>
    <t>Cloro Residual libre. Kit Hach</t>
  </si>
  <si>
    <t>Cloro Residual libre. Colorimetrico</t>
  </si>
  <si>
    <t>Cloruros. Titulométrico, Potenciométrico.</t>
  </si>
  <si>
    <t>Cloruros. Argentométrico.</t>
  </si>
  <si>
    <t>Cloruros. Cromatográfico.</t>
  </si>
  <si>
    <t>Cianuro total. Kit Hach.</t>
  </si>
  <si>
    <t>DQO. Reflujo Abierto, Titulación.</t>
  </si>
  <si>
    <t>DQO. Reflujo Cerrado, Colorimétrico.</t>
  </si>
  <si>
    <t>DQO FILTRADA. Reflujo Cerrado, Colorimétrico.</t>
  </si>
  <si>
    <t>Dureza Total. Titulométrico.</t>
  </si>
  <si>
    <t>Dureza Cálcica. Titulométrico.</t>
  </si>
  <si>
    <t>Fluoruros. Cromatográfico.</t>
  </si>
  <si>
    <t>Fósforo Total. Colorimétrico.</t>
  </si>
  <si>
    <t>Grasas y Aceites. Gravimétrico.</t>
  </si>
  <si>
    <t>Grasas y Aceites. Extracción Soxhlet</t>
  </si>
  <si>
    <t>Magnesio. Titulométrico.</t>
  </si>
  <si>
    <t>Magnesio. Cromatográfico.</t>
  </si>
  <si>
    <t>Magnesio. Absorción Atómica</t>
  </si>
  <si>
    <t>Nitratos. Colorimétrico.</t>
  </si>
  <si>
    <t>Nitratos. Cromatográfico.</t>
  </si>
  <si>
    <t>Nitritos. Colorimétrico.</t>
  </si>
  <si>
    <t>Nitritos. Cromatográfico.</t>
  </si>
  <si>
    <t>Nitrógeno Amoniacal. Destilación, Titulación.</t>
  </si>
  <si>
    <t>Nitrógeno Amoniacal. Cromatográfico.</t>
  </si>
  <si>
    <t>Nitrógeno Total Kjeldahl. Digestión, Destilación, Titulación.</t>
  </si>
  <si>
    <t>Ortofosfatos. Colorimétrico.</t>
  </si>
  <si>
    <t>Ortofosfatos. Cromatográfico.</t>
  </si>
  <si>
    <t>Oxígeno Disuelto. Titulación Winkler.</t>
  </si>
  <si>
    <t>Oxígeno Disuelto. Electrodo.</t>
  </si>
  <si>
    <t>Potasio. Cromatográfico.</t>
  </si>
  <si>
    <t>Sodio. Cromatográfico.</t>
  </si>
  <si>
    <t>Sulfatos. Turbidimétrico.</t>
  </si>
  <si>
    <t>Sulfatos. Cromatográfico.</t>
  </si>
  <si>
    <t>Sulfuros. Titulométrico.</t>
  </si>
  <si>
    <t>Sustancias Activas Azul de Metileno - SAAM. Colorimétrico.</t>
  </si>
  <si>
    <t>Dióxido de Carbono. Calculo</t>
  </si>
  <si>
    <t xml:space="preserve">BIOLÓGICOS </t>
  </si>
  <si>
    <t>Clorofila a. Colorimétrico.</t>
  </si>
  <si>
    <t>Coliformes Totales y Fecales. Tubos Múltiples.</t>
  </si>
  <si>
    <t>Coliformes Totales y Fecales. Filtración por Membrana.</t>
  </si>
  <si>
    <t>Coliformes Totales y Fecales. Sustrato Definido.</t>
  </si>
  <si>
    <t>DBO. Titulación Tiosulfato.</t>
  </si>
  <si>
    <t>DBO FILTRADA. Titulación Tiosulfato.</t>
  </si>
  <si>
    <t>DBO. Medición por Electrodo.</t>
  </si>
  <si>
    <t>Heterótrofos. Recuento en Placas.</t>
  </si>
  <si>
    <t>Materia Orgánica. Oxidación, Titulométrico.</t>
  </si>
  <si>
    <t>Pseudomona Aureginosa. Filtración por Membrana.</t>
  </si>
  <si>
    <t>Recuento de Mesófilos. Recuento en Placa.</t>
  </si>
  <si>
    <t>Recuento de Mesófilos. Filtración por Membrana.</t>
  </si>
  <si>
    <t>Vibrio Colera. Filtración por Membrana.</t>
  </si>
  <si>
    <t>Salmonella sp. Filtración por Membrana.</t>
  </si>
  <si>
    <t xml:space="preserve">FÍSICOS </t>
  </si>
  <si>
    <t>Color aparente. Comparación Visual.</t>
  </si>
  <si>
    <t>Color aparente. Fotométrico.</t>
  </si>
  <si>
    <t>Color real. Fotométrico.</t>
  </si>
  <si>
    <t>Conductividad. Electrométrico.</t>
  </si>
  <si>
    <t>pH Potenciométrico</t>
  </si>
  <si>
    <t>Sólidos Disueltos. Gravimétrico.</t>
  </si>
  <si>
    <t xml:space="preserve">Sólidos Sedimentables. Cono Innof. </t>
  </si>
  <si>
    <t>Solidos Suspendidos Totales. Gravimétrico.</t>
  </si>
  <si>
    <t>Sólidos Totales. Gravimétrico.</t>
  </si>
  <si>
    <t>Temperatura. Dilatación de Mercurio.</t>
  </si>
  <si>
    <t>Temperatura. Sensor Temperatura.</t>
  </si>
  <si>
    <t>Turbiedad. Comparación Visual.</t>
  </si>
  <si>
    <t>Turbiedad. Nefelométrico</t>
  </si>
  <si>
    <t>Salinidad. Refractométrico.</t>
  </si>
  <si>
    <t xml:space="preserve">METALES Y TÓXICOS </t>
  </si>
  <si>
    <t>Aluminio. Absorción Atómica</t>
  </si>
  <si>
    <t>Fenoles. Colorimétrico Directo.</t>
  </si>
  <si>
    <t>Hierro Total. Colorimétrico.</t>
  </si>
  <si>
    <t>Hierro Total. Absorción Atómica</t>
  </si>
  <si>
    <t>Manganeso. Colorimétrico.</t>
  </si>
  <si>
    <t>Manganeso. Absorción Atómica</t>
  </si>
  <si>
    <t>Arsénico. Absorción Atómica</t>
  </si>
  <si>
    <t>Cobre. Absorción Atómica</t>
  </si>
  <si>
    <t>Zinc. Absorción Atómica</t>
  </si>
  <si>
    <t>Silicio. Absorción Atómica</t>
  </si>
  <si>
    <t>Antimonio. Absorción Atómica</t>
  </si>
  <si>
    <t>Cromo. Absorción Atómica</t>
  </si>
  <si>
    <t>Selenio. Absorción Atómica</t>
  </si>
  <si>
    <t>Molibdeno. Absorción Atómica</t>
  </si>
  <si>
    <t>Plomo. Absorción Atómica</t>
  </si>
  <si>
    <t>Cadmio. Absorción Atómica</t>
  </si>
  <si>
    <t>Boro. Absorción Atómica</t>
  </si>
  <si>
    <t>Plata. Absorción Atómica</t>
  </si>
  <si>
    <t>Mercurio. Descomposición térmica</t>
  </si>
  <si>
    <t xml:space="preserve">Hidrocarburos Totales. </t>
  </si>
  <si>
    <t xml:space="preserve">Trihalometanos </t>
  </si>
  <si>
    <t xml:space="preserve">PESTICIDAS </t>
  </si>
  <si>
    <t>Uno</t>
  </si>
  <si>
    <t>Dos (cada uno)</t>
  </si>
  <si>
    <t>Tres (Cada Uno)</t>
  </si>
  <si>
    <t>Cuatro (Cada uno)</t>
  </si>
  <si>
    <t>Cinco (Cada uno)</t>
  </si>
  <si>
    <t>Más de Cinco (Cada uno)</t>
  </si>
  <si>
    <r>
      <t>PARAGRAFO 12</t>
    </r>
    <r>
      <rPr>
        <sz val="11"/>
        <rFont val="Verdana"/>
        <family val="2"/>
      </rPr>
      <t xml:space="preserve">: el documento guía de los métodos analíticos se encuentran referenciados en el documento D-4.4-01: “Oferta de Servicios del Laboratorio de Análisis de Agua”. </t>
    </r>
  </si>
  <si>
    <t>OTROS LABORATORIO DE ANÁLISIS DE AGUAS</t>
  </si>
  <si>
    <t>Valor Transporte y Visita de Muestreo</t>
  </si>
  <si>
    <t>Carro (día)</t>
  </si>
  <si>
    <t>Carro (medio día)</t>
  </si>
  <si>
    <t>Carro (hora)</t>
  </si>
  <si>
    <t>Moto (día)</t>
  </si>
  <si>
    <t>Moto (medio día)</t>
  </si>
  <si>
    <t>Moto (hora)</t>
  </si>
  <si>
    <t>Visita (hora muestreo)</t>
  </si>
  <si>
    <t>4. OTROS</t>
  </si>
  <si>
    <t>Capacitaciones</t>
  </si>
  <si>
    <t>Valor capacitación a entes privados en temas ambientales con transporte</t>
  </si>
  <si>
    <t>Valor capacitación a entes privados en temas ambientales sin transporte</t>
  </si>
  <si>
    <t>Auditorio</t>
  </si>
  <si>
    <t>Valor de alquiler por hora</t>
  </si>
  <si>
    <t>Valor de alquiler por medio día hábil</t>
  </si>
  <si>
    <t xml:space="preserve">Valor de alquiler por un día hábil </t>
  </si>
  <si>
    <t>Copias Heliográficas, Planos y Ploteos</t>
  </si>
  <si>
    <t>IVA</t>
  </si>
  <si>
    <t>TOTAL</t>
  </si>
  <si>
    <t>Valor por centímetro cuadrado</t>
  </si>
  <si>
    <r>
      <t>PARAGRAFO 13</t>
    </r>
    <r>
      <rPr>
        <sz val="11"/>
        <rFont val="Verdana"/>
        <family val="2"/>
      </rPr>
      <t xml:space="preserve">: todos los valores totales se ajustaron al $100 acordes con la resolución 055398 del 5/05/1998. </t>
    </r>
  </si>
  <si>
    <t>5. CONTROL DE CAMBIOS</t>
  </si>
  <si>
    <t>Fecha</t>
  </si>
  <si>
    <t>Resolución</t>
  </si>
  <si>
    <t>Versión</t>
  </si>
  <si>
    <t>Detalle</t>
  </si>
  <si>
    <t>03-01-02-000059</t>
  </si>
  <si>
    <t>Aprobación de la lista de tarifa de servicios de la vigencia 2008.</t>
  </si>
  <si>
    <t xml:space="preserve">03-01-02-000565 </t>
  </si>
  <si>
    <t xml:space="preserve">De la lista de tarifa de servicios de la vigencia .008, se modifica lo relacionado al alquiler del auditorio. </t>
  </si>
  <si>
    <t>03-01-02-000735</t>
  </si>
  <si>
    <t xml:space="preserve">De la lista de tarifa de servicios de la vigencia 2008, se modifica nuevamente lo relacionado al alquiler del auditorio. </t>
  </si>
  <si>
    <t>03-10-17-001035</t>
  </si>
  <si>
    <r>
      <t xml:space="preserve">Se cambia el nombre del documento, pasando de ser </t>
    </r>
    <r>
      <rPr>
        <i/>
        <sz val="9"/>
        <rFont val="Verdana"/>
        <family val="2"/>
      </rPr>
      <t>“Lista de Tarifa de Servicios para el Año 2008”</t>
    </r>
    <r>
      <rPr>
        <sz val="9"/>
        <rFont val="Verdana"/>
        <family val="2"/>
      </rPr>
      <t xml:space="preserve"> a </t>
    </r>
    <r>
      <rPr>
        <i/>
        <sz val="9"/>
        <rFont val="Verdana"/>
        <family val="2"/>
      </rPr>
      <t xml:space="preserve">“Lista de Tarifa de Servicios”. </t>
    </r>
    <r>
      <rPr>
        <sz val="9"/>
        <rFont val="Verdana"/>
        <family val="2"/>
      </rPr>
      <t>Dentro del documento se referencia la vigencia.</t>
    </r>
  </si>
  <si>
    <t>03-10-17-001935</t>
  </si>
  <si>
    <r>
      <t>En el numeral 2. Salvoconductos se incluyó el parágrafo 3: “</t>
    </r>
    <r>
      <rPr>
        <i/>
        <sz val="9"/>
        <rFont val="Verdana"/>
        <family val="2"/>
      </rPr>
      <t>Para los casos de removilización de madera con un volumen superior a 100 metros cúbicos en bruto, el costo de removilización por metro cúbico en bruto será de $227”.</t>
    </r>
  </si>
  <si>
    <t>03-10-17-000175</t>
  </si>
  <si>
    <t>Aprobación de la lista de tarifa de servicios de la vigencia 2009.</t>
  </si>
  <si>
    <t>300-03-10-23-1680</t>
  </si>
  <si>
    <t>Aprobación de la lista de tarifa de servicios de la vigencia 2010.</t>
  </si>
  <si>
    <t>300-03-10-23-1070</t>
  </si>
  <si>
    <r>
      <t xml:space="preserve">Se modifica el logo de La Corporación, se incluye el ítem control de cambios y se ajusta el Parágrafo 1, pasando de ser </t>
    </r>
    <r>
      <rPr>
        <i/>
        <sz val="9"/>
        <rFont val="Verdana"/>
        <family val="2"/>
      </rPr>
      <t>“En Licencias Ambientales el valor de la evaluación o tarifa de servicios se establecerá una vez se haya revisado toda la documentación y se haya evaluado en campo el tramite solicitado. Esta evaluación se desarrollará durante la etapa técnica con base en la normatividad vigente”</t>
    </r>
    <r>
      <rPr>
        <sz val="9"/>
        <rFont val="Verdana"/>
        <family val="2"/>
      </rPr>
      <t xml:space="preserve"> a </t>
    </r>
    <r>
      <rPr>
        <i/>
        <sz val="9"/>
        <rFont val="Verdana"/>
        <family val="2"/>
      </rPr>
      <t>“En Licencias Ambientales el valor de la evaluación o tarifa de servicios se establecerá una vez se haya revisado toda la documentación y se haya evaluado en campo el tramite solicitado. Esta evaluación se desarrollará durante la etapa técnica con base en la resolución 1280 del 07 de julio de 2010 del Ministerio de Ambiente, Vivienda y Desarrollo Territorial”.</t>
    </r>
  </si>
  <si>
    <t>200-03-10-99-0001</t>
  </si>
  <si>
    <t>Ajuste de la lista de tarifa con base en el IPC del 2010 del 3.17%.</t>
  </si>
  <si>
    <t>200-03-10-99-0003</t>
  </si>
  <si>
    <t>Ajuste de la lista de tarifa con base en el IPC del 2011 del 3.73%.</t>
  </si>
  <si>
    <t>200-03-10-99-1110</t>
  </si>
  <si>
    <t>Se incluyen pruebas del Laboratorio de Análisis de Aguas implementadas.</t>
  </si>
  <si>
    <t>300-03-10-23-1231</t>
  </si>
  <si>
    <t>Se incluyen el valor de las solicitudes de capacitación a entes privados en temas ambientales con y sin transporte.</t>
  </si>
  <si>
    <t>250-03-10-23-1541</t>
  </si>
  <si>
    <t>Ajuste de la lista de tarifas del año 2013 con base en el IPC del 2012 del 3.73%.</t>
  </si>
  <si>
    <t>300-03-10-23-0077</t>
  </si>
  <si>
    <t>Modificación de la lista de tarifas del año 2013, corrección del IPC del 2013, 2.44%.</t>
  </si>
  <si>
    <t>300-03-10-23-1363</t>
  </si>
  <si>
    <t>Se suprime del servicio del Laboratorio de Análisis de Aguas los parámetros Cadmio, Cobre, Mercurio, Plomo, Zinc y Cromo Total por obsolescencia del Polarógrafo.</t>
  </si>
  <si>
    <t>300-03-10-23-0008</t>
  </si>
  <si>
    <t>Ajuste de la lista de tarifas del año 2014 con base en el IPC del 2013 del 1.94%.</t>
  </si>
  <si>
    <t>300-03-10-23-0918</t>
  </si>
  <si>
    <t>Se incluye dentro del servicio del Laboratorio de Análisis de Aguas los parámetros Pseudomonas Aeroginosa, Salmonella SP, Vibrio Cólera y Sólidos Sedimentables.</t>
  </si>
  <si>
    <t>300-03-10-23-0018</t>
  </si>
  <si>
    <t>Ajuste de la lista de tarifas del año 2015 con base en el IPC del 2014 del 3.7%.</t>
  </si>
  <si>
    <t>300-03-10-23-0891</t>
  </si>
  <si>
    <t xml:space="preserve">Se adicionan parámetros en el Laboratorio de Análisis de Aguas y se crea el parágrafo 6: el documento guía de los métodos analíticos se encuentran referenciados en el documento D-4.4-01: “Oferta de Servicios del Laboratorio de Análisis de Agua”.    </t>
  </si>
  <si>
    <t>300-03-10-23-0016</t>
  </si>
  <si>
    <t>Ajuste de la lista de tarifas del año 2016 con base en el IPC del año 2015 del 6.77%</t>
  </si>
  <si>
    <t>250-03-10-99-1432</t>
  </si>
  <si>
    <t xml:space="preserve">Se incluye tarifa de permisos de estudio. Este valor, se establecerá una vez se haya revisado toda la documentación y definido el número de profesionales y de visitas que se requieren para la evaluación del trámite se modifica el logo.  </t>
  </si>
  <si>
    <t>200-03-30-99-0001</t>
  </si>
  <si>
    <t>Ajuste de la lista de tarifas del año 2017 con base en el IPC del año 2016 del 5.75%. Corrección de la tarifa del Magnesio. Absorción Atómica.</t>
  </si>
  <si>
    <t>250-03-10-23-0229</t>
  </si>
  <si>
    <t>Discriminación del IVA en las tarifas de los servicios prestados por el laboratorio de aguas.</t>
  </si>
  <si>
    <t>300-03-10-23-0038-2018</t>
  </si>
  <si>
    <t>Ajuste de la lista de tarifas del año 2018 con base en el IPC del año 2017 del 4,09%. Se unifica el valor a cobrar en los trámites de concesiones de agua. Se incluyen  los trámites Aprovechamiento Forestal domestico, Aprovechamiento de productos de la flora silvestre con fines comerciales, Registro de plantaciones Forestales, Plan de contingencias para almacenamiento y transporte de sustancias peligrosas- e hidrocarburos. Levantamiento de Veda y Evaluación de DAA. se elimina la publicación en Conceptos de Carácter Ambiental.  Se ajustan los parágrafos.  se cambia el formato del archivo a MS EXCEL.</t>
  </si>
  <si>
    <t>300-03-10-23-0331-2018</t>
  </si>
  <si>
    <t>Ajuste a la tarifa del auditorio, inclusión del parágrafo 13, sobre ajustes a los $100 en valores totales.</t>
  </si>
  <si>
    <t>Última línea-------última línea-------última línea</t>
  </si>
  <si>
    <t>Cestillal</t>
  </si>
  <si>
    <t>San Pascual</t>
  </si>
  <si>
    <t>Nutibara</t>
  </si>
  <si>
    <t>Veredas - Caballo</t>
  </si>
  <si>
    <t>un día</t>
  </si>
  <si>
    <t>Caballo</t>
  </si>
  <si>
    <t>Observaciones</t>
  </si>
  <si>
    <t>A. HONORARIOS</t>
  </si>
  <si>
    <t>B. VIÁTICOS Y GASTOS DE VIAJE</t>
  </si>
  <si>
    <t>B.1 VIÁTICOS</t>
  </si>
  <si>
    <t>B.2 GASTOS DE VIAJES</t>
  </si>
  <si>
    <t>C. OTROS: ANALISIS LAB. Y ESTUDIOS</t>
  </si>
  <si>
    <t>COSTO DEL SERVICIO (A+B+C)</t>
  </si>
  <si>
    <t>Gasto de Administración (25%)</t>
  </si>
  <si>
    <t>COSTO TOTAL DEL SERVICIO INCLUIDO LOS GASTOS DE ADMINISTRACIÓN:</t>
  </si>
  <si>
    <t>SELECCIONE EL SERVICIO QUE SE REQUIERE</t>
  </si>
  <si>
    <t>OTROS ESTUDIOS O EVALUCIONES:</t>
  </si>
  <si>
    <t>Cual</t>
  </si>
  <si>
    <t>DESCRIBA EL ESTUDIO y/o EVALUACIÓN</t>
  </si>
  <si>
    <t>VALOR SERVICIO SELECCIONADO</t>
  </si>
  <si>
    <r>
      <rPr>
        <b/>
        <sz val="14"/>
        <rFont val="Verdana"/>
        <family val="2"/>
      </rPr>
      <t>VALOR TOTAL</t>
    </r>
    <r>
      <rPr>
        <b/>
        <sz val="11"/>
        <rFont val="Verdana"/>
        <family val="2"/>
      </rPr>
      <t xml:space="preserve"> 
DE LOS SERVICIOS DE LABORATORIO Y/O EVALUACIÓN</t>
    </r>
  </si>
  <si>
    <t>Describir:</t>
  </si>
  <si>
    <t>Costo:
(INTRODUZCA EL COSTO)</t>
  </si>
  <si>
    <t>Promedio Vr/Km</t>
  </si>
  <si>
    <t>Km
Intraurbano</t>
  </si>
  <si>
    <t>Vr/Km
Intraurbano</t>
  </si>
  <si>
    <t>Promedio Vr/Km
Intraurbano</t>
  </si>
  <si>
    <t>TERRESTRE</t>
  </si>
  <si>
    <t>Promedio Vr/Km
Veredal</t>
  </si>
  <si>
    <t>FLUVIAL</t>
  </si>
  <si>
    <t>CALCULO DE LA TARIFA POR PROYECTO</t>
  </si>
  <si>
    <t>VALOR DEL PROYECTO</t>
  </si>
  <si>
    <r>
      <rPr>
        <b/>
        <i/>
        <sz val="14"/>
        <color rgb="FF000000"/>
        <rFont val="Times New Roman"/>
        <family val="1"/>
      </rPr>
      <t>COSTOS DE INVERSIÓN</t>
    </r>
    <r>
      <rPr>
        <i/>
        <sz val="11"/>
        <color rgb="FF000000"/>
        <rFont val="Times New Roman"/>
        <family val="1"/>
      </rPr>
      <t xml:space="preserve">
a) Costos de inversión</t>
    </r>
    <r>
      <rPr>
        <sz val="11"/>
        <color rgb="FF000000"/>
        <rFont val="Times New Roman"/>
        <family val="1"/>
      </rPr>
      <t>: Incluyen los valores correspondientes a:</t>
    </r>
  </si>
  <si>
    <t>VALOR REPORTADO POR EL INTERESADO</t>
  </si>
  <si>
    <t>-- Obras civiles (diseño y construcción):</t>
  </si>
  <si>
    <t>-- Valor del predio objeto del proyecto:</t>
  </si>
  <si>
    <t>-- Adquisición y alquiler de maquinaria y equipo utilizados en las obras civiles:</t>
  </si>
  <si>
    <t>-- Constitución de servidumbres:</t>
  </si>
  <si>
    <t>-- Otros bienes e inversiones relacionados con la actividad económica:</t>
  </si>
  <si>
    <t>Valor en Pesos Colombianos
COSTO DE INVERSIÓN ($)</t>
  </si>
  <si>
    <r>
      <rPr>
        <b/>
        <i/>
        <sz val="14"/>
        <color rgb="FF000000"/>
        <rFont val="Times New Roman"/>
        <family val="1"/>
      </rPr>
      <t>COSTOS DE OPERACIÓN</t>
    </r>
    <r>
      <rPr>
        <i/>
        <sz val="11"/>
        <color rgb="FF000000"/>
        <rFont val="Times New Roman"/>
        <family val="1"/>
      </rPr>
      <t xml:space="preserve">
b) Costos de operación: </t>
    </r>
    <r>
      <rPr>
        <sz val="11"/>
        <color rgb="FF000000"/>
        <rFont val="Times New Roman"/>
        <family val="1"/>
      </rPr>
      <t>Comprenden los gastos requeridos para la administración, operación y mantenimiento durante la vigencia del instrumento de control y manejo ambiental, e incluyen:</t>
    </r>
  </si>
  <si>
    <t>-- Valor de las materias primas:</t>
  </si>
  <si>
    <t>-- Mano de obra calificada y no calificada utilizada para la administración, operación y mantenimiento:</t>
  </si>
  <si>
    <t>-- Arrendamientos, servicios públicos, seguros y otros gastos generados:</t>
  </si>
  <si>
    <t>-- Mantenimiento, reparación y/o reposición de equipos, instrumentos y/o elementos requeridos:</t>
  </si>
  <si>
    <t>-- Desmantelamiento:</t>
  </si>
  <si>
    <t>VALOR DEL PROYECTO &gt;&gt;&gt;&gt;&gt;&gt;&gt;&gt;&gt;&gt;&gt;&gt;&gt;&gt;&gt;&gt;&gt;&gt;&gt;&gt;&gt;&gt;&gt;&gt;</t>
  </si>
  <si>
    <r>
      <t>DETERMINACIÓN DEL VALOR DEL PROYECTO.</t>
    </r>
    <r>
      <rPr>
        <sz val="11"/>
        <color rgb="FF000000"/>
        <rFont val="Times New Roman"/>
        <family val="1"/>
      </rPr>
      <t xml:space="preserve"> El valor estimado del proyecto, obra o actividad, comprende la sumatoria de los costos de inversión y operación, definidos de la siguiente manera:</t>
    </r>
  </si>
  <si>
    <r>
      <t>INFORMACIÓN PARA SUSTENTAR EL VALOR DEL PROYECTO.</t>
    </r>
    <r>
      <rPr>
        <sz val="11"/>
        <color rgb="FF000000"/>
        <rFont val="Times New Roman"/>
        <family val="1"/>
      </rPr>
      <t xml:space="preserve"> Los usuarios deberán suministrar la información del valor del proyecto, obra o actividad, según lo establecido , para lo cual deberán diligenciar y entregar el anexo C</t>
    </r>
    <r>
      <rPr>
        <i/>
        <sz val="11"/>
        <color rgb="FF000000"/>
        <rFont val="Times New Roman"/>
        <family val="1"/>
      </rPr>
      <t>osto del proyecto suministrado por el peticionario.</t>
    </r>
  </si>
  <si>
    <t>La información consignada en el anexo deberá ser veraz y ajustada a las condiciones reales del proyecto, obra o actividad, y podrá ser verificada por la Corporación, en cualquier etapa del trámite, dando lugar a una nueva liquidación del servicio del instrumento ambiental correspondiente (en los términos establecidos).</t>
  </si>
  <si>
    <t>Articulo 1 de la Resolución 1280 de 2010 (Escal tarifaria: para proyectos, obras o actividades cuyo valor sea inferior a 2.115 salarios mínimos mensuales (smmv))</t>
  </si>
  <si>
    <t>De la Ley 633 de 2000:</t>
  </si>
  <si>
    <t>Las tarifas que se cobran por concepto de la prestación de los servicios de evaluación y de los servicios de seguimiento ambiental, según sea el caso, no podrán exceder los siguientes topes:</t>
  </si>
  <si>
    <t>1. Aquellos que tengan un valor de dos mil ciento quince (2.115) salarios mínimos mensuales vigentes tendrán una tarifa máxima del cero punto seis por ciento (0.6%).</t>
  </si>
  <si>
    <t>2. Aquellos que tengan un valor superior a los dos mil ciento quince (2.115) salarios mínimos mensuales vigentes e inferior a los ocho mil cuatrocientos cincuenta y ocho (8.458) salarios mínimos mensuales vigentes tendrán una tarifa máxima del cero punto cinco por ciento (0.5%).</t>
  </si>
  <si>
    <t>3. Aquellos que tengan un valor superior a los ocho mil cuatrocientos cincuenta y ocho (8.458) salarios mínimos mensuales vigentes, tendrán una tarifa máxima del cero punto cuatro por ciento (0.4%).</t>
  </si>
  <si>
    <t>TARIFA MÁXIMA</t>
  </si>
  <si>
    <t>RANGO DEL VALOR DEL PROYECTO (En SMMV y en PESOS)</t>
  </si>
  <si>
    <t>Para proyectos con un valor inferior a 2,115 SMMV (Tarifa maxima del 0,6%)</t>
  </si>
  <si>
    <t>Tope de Menor</t>
  </si>
  <si>
    <t>Mayores</t>
  </si>
  <si>
    <t>TARIFA POR CONCEPTO DE PRESTACIÓN DE SERVICIOS DE EVALUACIÓN Y SERVICIOS DE SEGUIMIENTO AMBIENTAL (CONSIDERANDO TOPES)</t>
  </si>
  <si>
    <t>TRANSPORTE REQUERIDO</t>
  </si>
  <si>
    <t>Tipo de Transporte</t>
  </si>
  <si>
    <t>TERRESTRE VEREDAL</t>
  </si>
  <si>
    <t>VALOR TOTAL POR TIPO DE TRANSPORTE</t>
  </si>
  <si>
    <t>VALOR TOTAL TRANSPORTE</t>
  </si>
  <si>
    <t>KILOMETROS TOTAL 
por cada tipo de transporte</t>
  </si>
  <si>
    <t>PARAGRAFO 2: Cuando no se requiera pernoctar en el lugar de la comision, se reconocera el veinticinco por ciento (25%) del valor fijado en la escala de viaticos. Este aplica para comisiones fuera de la jurisdiccion de Corpouraba y para comisiones en municipios dentro de la jurisdiccion de Corpouraba, toda vez la permanencia en el lugar dure seis (6) horas o mas ejecutando actividades propias del cargo debidamente autorizadas.</t>
  </si>
  <si>
    <t>Permiso de exploración de aguas subterráneas</t>
  </si>
  <si>
    <t>PROFESIONALES</t>
  </si>
  <si>
    <t>No. de profesionales</t>
  </si>
  <si>
    <t>Honorario mensual</t>
  </si>
  <si>
    <t>Dedicación mensual (Hombre/mes)</t>
  </si>
  <si>
    <t>No. de visitas</t>
  </si>
  <si>
    <t>Duaración (días)</t>
  </si>
  <si>
    <t>Total No. de días</t>
  </si>
  <si>
    <t>TOTAL HONORARIO</t>
  </si>
  <si>
    <t>TOTAL VIATICOS</t>
  </si>
  <si>
    <t>Diagnóstico Ambiental de Alternativas</t>
  </si>
  <si>
    <t>Licencia ambiental</t>
  </si>
  <si>
    <t>Plan de Manejo Ambiental (PMA)</t>
  </si>
  <si>
    <t>Concesión de aguas subterráneas</t>
  </si>
  <si>
    <t>Concesión de aguas superficiales</t>
  </si>
  <si>
    <t>Permiso de vertimientos</t>
  </si>
  <si>
    <t>Plan de Saneamiento y Manejo de Vertimientos (PSMV)</t>
  </si>
  <si>
    <t>Autorización de ocupación de cauce</t>
  </si>
  <si>
    <t>Permiso de emisiones atmosféricas</t>
  </si>
  <si>
    <t>Sustracción de áreas de distritos de manejo integrado, reservas forestales y otras áreas protegidas o figuras de protección ambiental</t>
  </si>
  <si>
    <t>Permiso de estudio de recursos naturales</t>
  </si>
  <si>
    <t>Levantamiento de veda</t>
  </si>
  <si>
    <t>1J</t>
  </si>
  <si>
    <t>1A</t>
  </si>
  <si>
    <t>3F</t>
  </si>
  <si>
    <t>3B</t>
  </si>
  <si>
    <t>1S</t>
  </si>
  <si>
    <t>4F</t>
  </si>
  <si>
    <t>2B</t>
  </si>
  <si>
    <t>2F</t>
  </si>
  <si>
    <t>1F</t>
  </si>
  <si>
    <t>1B</t>
  </si>
  <si>
    <t>PROCEDIMIENTO</t>
  </si>
  <si>
    <t>OTRO:</t>
  </si>
  <si>
    <t>DIGITE EL NOMBRE DEL PROCEDIMIENTO (SEGÚN LA NORMA)</t>
  </si>
  <si>
    <t>Nota: Los profesionales incluyen los de la fase de evaluación y seguimiento</t>
  </si>
  <si>
    <r>
      <t xml:space="preserve">                           </t>
    </r>
    <r>
      <rPr>
        <b/>
        <sz val="18"/>
        <color rgb="FF002060"/>
        <rFont val="Calibri"/>
        <family val="2"/>
        <scheme val="minor"/>
      </rPr>
      <t>CALCULO DE LA TARIFA DE EVALUACIÓN Y SEGUIMIENTO - CORPOURABÁ</t>
    </r>
  </si>
  <si>
    <t>CALCULO DE LA TARIFA DE EVALUACIÓN Y SEGUIMIENTO POR: HONORARIOS + VIATICOS + GASTOS DE VIAJES</t>
  </si>
  <si>
    <t>3 visitas</t>
  </si>
  <si>
    <t>2 visitas</t>
  </si>
  <si>
    <t>Aprovechamiento forestal persistente</t>
  </si>
  <si>
    <t>Aprovechamiento forestal único</t>
  </si>
  <si>
    <t>4B</t>
  </si>
  <si>
    <t>TARIFA X VR. PROYECTO</t>
  </si>
  <si>
    <t>Batimetria</t>
  </si>
  <si>
    <t>Lev. Topografico</t>
  </si>
  <si>
    <t>Total 
Honorarios
por Profesional</t>
  </si>
  <si>
    <t>Total Viaticos por Profesional</t>
  </si>
  <si>
    <t>ELIJA EL TRAMITE:</t>
  </si>
  <si>
    <t>Clasificación</t>
  </si>
  <si>
    <t>Estudios</t>
  </si>
  <si>
    <t>Experiencia (en meses)</t>
  </si>
  <si>
    <t>TB</t>
  </si>
  <si>
    <t>Título Bachiller</t>
  </si>
  <si>
    <t>TFTP</t>
  </si>
  <si>
    <t>Título de Formación Tecnica Profesional</t>
  </si>
  <si>
    <t>Título de Formación Tecnológica</t>
  </si>
  <si>
    <t>TFT</t>
  </si>
  <si>
    <t>TP</t>
  </si>
  <si>
    <t>Título Profesional</t>
  </si>
  <si>
    <t>E</t>
  </si>
  <si>
    <t>Especialización</t>
  </si>
  <si>
    <t>Maestría</t>
  </si>
  <si>
    <t>Doctorado</t>
  </si>
  <si>
    <t>M</t>
  </si>
  <si>
    <t>DOC</t>
  </si>
  <si>
    <t>ER</t>
  </si>
  <si>
    <t>TA</t>
  </si>
  <si>
    <t>MEPR</t>
  </si>
  <si>
    <t>MER O L</t>
  </si>
  <si>
    <t>Experiencia Relacionada</t>
  </si>
  <si>
    <t>Título Adocional</t>
  </si>
  <si>
    <t>Meses de Experiencia Profesional Relacionada</t>
  </si>
  <si>
    <t>Meses de Experiencia Profesional Relacionada ó Laboral</t>
  </si>
  <si>
    <t>12 MER O L</t>
  </si>
  <si>
    <t>6 MER O L</t>
  </si>
  <si>
    <t>TP+M</t>
  </si>
  <si>
    <t>TP+E ó TP+TA</t>
  </si>
  <si>
    <t>TP+DOC</t>
  </si>
  <si>
    <t>AÑO</t>
  </si>
  <si>
    <t>Equivalencias Tabla Corporación</t>
  </si>
  <si>
    <t>lista 2 tiempos de dedicación</t>
  </si>
  <si>
    <t>10 MES</t>
  </si>
  <si>
    <t>30 MESES</t>
  </si>
  <si>
    <t>21 MESES</t>
  </si>
  <si>
    <t>6 MESES</t>
  </si>
  <si>
    <t>PROFESIONAL ESPECIALIZADO GRADO 13</t>
  </si>
  <si>
    <t>PROFESIONAL CON MAESTRIA - CONTRATISTA</t>
  </si>
  <si>
    <t>PROFESIONAL ESPECIALIZADO CON TITULO ADICIONAL - CONTRATISTA</t>
  </si>
  <si>
    <t>OPERARIOS CALIFICADOS GRADO 15</t>
  </si>
  <si>
    <t>TECNICO ADMINISTRATIVO GRADO 14</t>
  </si>
  <si>
    <t>TECNICO ADMINISTRATIVO GRADO 16</t>
  </si>
  <si>
    <t>PROFESIONAL UNIVERSITARIO GRADO 8</t>
  </si>
  <si>
    <t>PROFESIONAL UNIVERSITARIO GRADO 11</t>
  </si>
  <si>
    <t>Tabla desplegable # x Denominación Cargos</t>
  </si>
  <si>
    <t>Experiencia
 (en meses)</t>
  </si>
  <si>
    <t>VIA TICOS DIARIOS EN PESOS</t>
  </si>
  <si>
    <t>VIÁTICOS DIARIOS EN PESOS 
no pernotado 25%</t>
  </si>
  <si>
    <t>NA</t>
  </si>
  <si>
    <t>Costo
Total</t>
  </si>
  <si>
    <t>SMMV</t>
  </si>
  <si>
    <t>COSTO DE ACUERDO A CALCULO SOBRE EL PROYECTO</t>
  </si>
  <si>
    <t>Valor proyecto</t>
  </si>
  <si>
    <t>Menores a 25 SMMV</t>
  </si>
  <si>
    <t>Igual o superior a 25 SMMV e inferior a 35 SMMV</t>
  </si>
  <si>
    <t>Igual o superior a 35 SMMV e inferior a 50 SMMV</t>
  </si>
  <si>
    <t>Igual o superior a 50 SMMV e inferior a 70 SMMV</t>
  </si>
  <si>
    <t>Igual o superior a 70 SMMV e inferior a 100 SMMV</t>
  </si>
  <si>
    <t>Igual o superior a 100 SMMV e inferior a 200 SMMV</t>
  </si>
  <si>
    <t>Igual o superior a 200 SMMV e inferior a 300 SMMV</t>
  </si>
  <si>
    <t>Igual o superior a 300 SMMV e inferior a 400 SMMV</t>
  </si>
  <si>
    <t>Igual o superior a 400 SMMV e inferior a 500 SMMV</t>
  </si>
  <si>
    <t>Igual o superior a 500 SMMV e inferior a 700 SMMV</t>
  </si>
  <si>
    <t>Igual o superior a 700 SMMV e inferior a 900 SMMV</t>
  </si>
  <si>
    <t>Igual o superior a 900 SMMV e inferior a 1500 SMMV</t>
  </si>
  <si>
    <t>Igual o superior a 1500 SMMV e inferior a 2115 SMMV</t>
  </si>
  <si>
    <t>Fuente: Resolución 1280 de 2010 Ministerio de Ambiente, Vivienda y Desarrollo Territorial</t>
  </si>
  <si>
    <t>Tarifa máxima 2010</t>
  </si>
  <si>
    <t>Tarifa máxima 2017</t>
  </si>
  <si>
    <t>Cifras aproximadas a centenas</t>
  </si>
  <si>
    <t>Dos mil ciento quince (2.115) SMMV</t>
  </si>
  <si>
    <t>Valor superior a dos mil ciento quince (2.115) SMMV e inferior a ocho mil cuatrocientos cincuenta y ocho (8.458) SMMV</t>
  </si>
  <si>
    <t>Valor superior a ocho mil cuatrocientos cincuenta y ocho (8.458) salarios mínimos mensuales vigentes</t>
  </si>
  <si>
    <t>Máximo</t>
  </si>
  <si>
    <t>Valor total del proyecto</t>
  </si>
  <si>
    <t>TARIFA PARA PROYECTOS QUE TENGAN UN VALOR IGUAL O SUPERIOR A LOS 2.115 SMMV</t>
  </si>
  <si>
    <t>Usuario</t>
  </si>
  <si>
    <t>NIT y/o CC:</t>
  </si>
  <si>
    <t>Tipo de Permiso</t>
  </si>
  <si>
    <t>Contacto:</t>
  </si>
  <si>
    <t>Fecha de Liquidación:</t>
  </si>
  <si>
    <t>TABLA ÚNICA</t>
  </si>
  <si>
    <t>Honorarios y Viáticos</t>
  </si>
  <si>
    <t>Duración de cada visita (c )</t>
  </si>
  <si>
    <t>Duración del pronunciamiento (d)</t>
  </si>
  <si>
    <r>
      <t>Duración Total</t>
    </r>
    <r>
      <rPr>
        <sz val="11"/>
        <color rgb="FF000000"/>
        <rFont val="Calibri"/>
        <family val="2"/>
      </rPr>
      <t>(e)</t>
    </r>
    <r>
      <rPr>
        <sz val="10"/>
        <color indexed="8"/>
        <rFont val="Arial"/>
        <family val="2"/>
      </rPr>
      <t xml:space="preserve"> (b(c+d))</t>
    </r>
  </si>
  <si>
    <t>Viáticos diarios(f)</t>
  </si>
  <si>
    <t>Valor Salario Minimo</t>
  </si>
  <si>
    <t># de Salarios mínimos</t>
  </si>
  <si>
    <t>Costo Total (A+B+C)</t>
  </si>
  <si>
    <t>Porcentaje aplicable</t>
  </si>
  <si>
    <t>Valor # 1</t>
  </si>
  <si>
    <t>VALOR TABLA ÚNICA</t>
  </si>
  <si>
    <t>Valor # 2 (Según liquidación Tabla Única)</t>
  </si>
  <si>
    <t>TOTAL A PAGAR</t>
  </si>
  <si>
    <t>Honorarios Mensuales</t>
  </si>
  <si>
    <t>Fuente: Resolución 0006358 de 2013 Ministerio de Transporte (Honorarios), Resolución 2613 del 29 de diciembre de 2009  del MAVDT (costo administración 25%)</t>
  </si>
  <si>
    <t xml:space="preserve">Fuente: </t>
  </si>
  <si>
    <t>Correo:</t>
  </si>
  <si>
    <t>No. Profesionales</t>
  </si>
  <si>
    <t>Grado</t>
  </si>
  <si>
    <t>Coloque cantidad estimado de cada tipo de transporte en Kilometros (total)</t>
  </si>
  <si>
    <t>Plan de inversion forzosa certificado</t>
  </si>
  <si>
    <t>Plan de manejo</t>
  </si>
  <si>
    <t>TERRESTRE INTERMUNICIPAL</t>
  </si>
  <si>
    <t>Resolución 3600 del 9 de mayo de 2001</t>
  </si>
  <si>
    <t>Fotocopias</t>
  </si>
  <si>
    <t>VIGENCIA 2019</t>
  </si>
  <si>
    <t>LIQUIDACIÓN</t>
  </si>
  <si>
    <t>Especialidad</t>
  </si>
  <si>
    <t>Tabla de especialidades tecnicas</t>
  </si>
  <si>
    <t>No. De Visitas
 (b)</t>
  </si>
  <si>
    <t>Viáticos Totales (g)
(b*c*f)</t>
  </si>
  <si>
    <t>Subtotales (h)
((a*e)+g))</t>
  </si>
  <si>
    <t xml:space="preserve">a. El valor total de los honorarios de los profesionales requeridos para la realización de la tarea propuesta; </t>
  </si>
  <si>
    <t xml:space="preserve">b. El valor total de los viáticos y gastos de viaje de los profesionales que se ocasionen para el estudio, la expedición, el seguimiento y/o el monitoreo de la licencia ambiental, permisos, concesiones o autorizaciones y demás instrumentos de control y manejo ambiental establecidos en la Ley y los reglamentos. </t>
  </si>
  <si>
    <t xml:space="preserve">c. El valor total de los análisis de laboratorio u otros estudios y diseños técnicos que sean requeridos tanto para la evaluación como para el seguimiento. </t>
  </si>
  <si>
    <t>(B) Gastos de viaje</t>
  </si>
  <si>
    <t>(A)  Costo honorarios y Viáticos</t>
  </si>
  <si>
    <t>(C) Costo analisis de laboratorio y otros</t>
  </si>
  <si>
    <t>Costo de Administración (25%)</t>
  </si>
  <si>
    <t>Grado Salarial</t>
  </si>
  <si>
    <t>Cant</t>
  </si>
  <si>
    <t>Asignación Básica</t>
  </si>
  <si>
    <t>Nivel</t>
  </si>
  <si>
    <t>Mensual</t>
  </si>
  <si>
    <t>Prima Antigüedad (Quinquenio)</t>
  </si>
  <si>
    <t>NIVEL DIRECTIVO</t>
  </si>
  <si>
    <t>NIVEL ASESOR</t>
  </si>
  <si>
    <t>Fuente incremento salarial: anexo 01 Circular Externa 04 marzo 06 2018</t>
  </si>
  <si>
    <t>Tabla 2: Topes liquidación Tabla Única proyectos menores a 2.115 SMMV</t>
  </si>
  <si>
    <t>Tabla 3: TARIFA PARA PROYECTOS QUE TENGAN UN VALOR IGUAL O SUPERIOR A LOS 2.115 SMMV</t>
  </si>
  <si>
    <t xml:space="preserve">Costo de la evaluación o seguimiento, que se obtiene con Tabla 1: </t>
  </si>
  <si>
    <r>
      <rPr>
        <b/>
        <sz val="10"/>
        <color indexed="8"/>
        <rFont val="ARIAL"/>
        <family val="2"/>
      </rPr>
      <t>Proyectos menores a 2115 SMMV.</t>
    </r>
    <r>
      <rPr>
        <sz val="10"/>
        <color indexed="8"/>
        <rFont val="Arial"/>
        <family val="2"/>
      </rPr>
      <t xml:space="preserve"> Se aplica lo establecido en Resolución 1280 de 2010, Artículo 1°. Establecer la siguiente escala tarifaría para el cobro de los servicios de evaluación y seguimiento de las licencias ambientales, permisos, concesiones, autorizaciones y demás instrumentos de manejo y control ambiental que deban tramitar las Corporaciones Autónomas Regionales, las de Desarrollo Sostenible, los Grandes Centros Urbanos y las autoridades ambientales creadas mediante la Ley 768 de 2002, para proyectos, obras o actividades cuyo valor sea inferior a 2.115 salarios mínimos mensuales (smmv): ver tabla 2.</t>
    </r>
  </si>
  <si>
    <t>Valor del Proyecto</t>
  </si>
  <si>
    <t>Tramites que no requieren reportar valor del proyecto</t>
  </si>
  <si>
    <t>TABLA UNICA PARA LA LIQUIDACIÓN DE LA TARIFA</t>
  </si>
  <si>
    <t>LIQUIDACIÓN POR EL VALOR DEL PROYECTO</t>
  </si>
  <si>
    <t>IDENTIFICACIÓN DEL COSTO.</t>
  </si>
  <si>
    <t>IDENTIFICACIÓN DEL USUARIO</t>
  </si>
  <si>
    <t xml:space="preserve"> Art. 96 de la ley 0633 de 2000 y Resolución 1280 de 2010</t>
  </si>
  <si>
    <t>Abogado</t>
  </si>
  <si>
    <t>Paso 1</t>
  </si>
  <si>
    <t>Paso 2</t>
  </si>
  <si>
    <r>
      <rPr>
        <b/>
        <sz val="11"/>
        <rFont val="Verdana"/>
        <family val="2"/>
      </rPr>
      <t>Profesionales o contratistas:</t>
    </r>
    <r>
      <rPr>
        <sz val="11"/>
        <rFont val="Verdana"/>
        <family val="2"/>
      </rPr>
      <t xml:space="preserve"> Se debe estimar el personal requerido para el permiso .  Una vez estimados se define la cantidad y dedicación (días) que tendrán para realizan este tipo de labor, así:
a) </t>
    </r>
    <r>
      <rPr>
        <b/>
        <i/>
        <sz val="11"/>
        <rFont val="Verdana"/>
        <family val="2"/>
      </rPr>
      <t xml:space="preserve">Cantidad: </t>
    </r>
    <r>
      <rPr>
        <sz val="11"/>
        <rFont val="Verdana"/>
        <family val="2"/>
      </rPr>
      <t xml:space="preserve">Escoge de la lista desplegable (columna "A") la "Categoría de(los) profesional(es) o contratista(s)" que debe participar en evaluación o seguimiento, luego se escoge la especialidad a la que corresponde el (los) profesional(es) o contratista(s) (columna "B"), a continuación se escoge grado al que corresponde (columna "C") y por último se define el número de profesional(es) o contratista(s) en la columna "D".  El modelo selecciona en la  columna "E" las asignaciones salariales respectivas.
b) </t>
    </r>
    <r>
      <rPr>
        <b/>
        <i/>
        <sz val="11"/>
        <rFont val="Verdana"/>
        <family val="2"/>
      </rPr>
      <t xml:space="preserve">Dedicación: </t>
    </r>
    <r>
      <rPr>
        <sz val="11"/>
        <rFont val="Verdana"/>
        <family val="2"/>
      </rPr>
      <t>Se ingresa en la columna "I" la cantidad de días que emplean el(os) profesional(es) para ejecutar las tareas asignadas. el modelo calcula en la columna "M" el valor total de los honorarios de los profesionales requeridos para la realización de la tarea propuesta
Se adicionan tantas líneas como tipo de profesionales diferentes se requieran.</t>
    </r>
  </si>
  <si>
    <r>
      <t xml:space="preserve">Si el trámite de evaluación o seguimiento requiere análisis de laboratorio u otros estudios y diseños técnicos, estos se cobrarán conforme a las tarifas vigentes fijadas en el “D-FC-01 LISTA DE TARIFA DE SERVICIOS” o a valor de referencia del mercado. Dichos valores se deben digitar en la celda </t>
    </r>
    <r>
      <rPr>
        <b/>
        <sz val="11"/>
        <rFont val="Verdana"/>
        <family val="2"/>
      </rPr>
      <t>"M44"</t>
    </r>
    <r>
      <rPr>
        <sz val="11"/>
        <rFont val="Verdana"/>
        <family val="2"/>
      </rPr>
      <t xml:space="preserve">.
</t>
    </r>
  </si>
  <si>
    <r>
      <t xml:space="preserve">Una vez ingresado todos los conceptos de costos requeridos en el proceso de evaluación o seguimiento, se obtiene el costo del trámite, cuya cifra se ubica en la celda </t>
    </r>
    <r>
      <rPr>
        <b/>
        <sz val="11"/>
        <rFont val="Verdana"/>
        <family val="2"/>
      </rPr>
      <t>"M48"</t>
    </r>
  </si>
  <si>
    <t>Paso 3</t>
  </si>
  <si>
    <t>Paso 4</t>
  </si>
  <si>
    <t>Paso 5</t>
  </si>
  <si>
    <t>Paso 6</t>
  </si>
  <si>
    <t>Ingresa los datos del usuario, tipo y número de permiso, fecha y objeto de solicitud en el encabezado de la TABLA UNICA PARA LA LIQUIDACIÓN DE LA TARIFA.</t>
  </si>
  <si>
    <t>Paso 7</t>
  </si>
  <si>
    <r>
      <t xml:space="preserve">o B) La </t>
    </r>
    <r>
      <rPr>
        <b/>
        <sz val="11"/>
        <color indexed="8"/>
        <rFont val="Verdana"/>
        <family val="2"/>
      </rPr>
      <t>TABLA UNICA PARA LA LIQUIDACIÓN DE LA TARIFA</t>
    </r>
    <r>
      <rPr>
        <sz val="11"/>
        <color indexed="8"/>
        <rFont val="Verdana"/>
        <family val="2"/>
      </rPr>
      <t xml:space="preserve"> verifica si valor de proyecto es superior o igual a 2.115 SMMV, si lo es, compara con los SMMV de la Tabla 3 y escoge la escala (0.6%, 0.5%, 0.4%) que le corresponda, este resultado lo ubica en </t>
    </r>
    <r>
      <rPr>
        <b/>
        <sz val="11"/>
        <color indexed="8"/>
        <rFont val="Verdana"/>
        <family val="2"/>
      </rPr>
      <t>"E48"</t>
    </r>
    <r>
      <rPr>
        <sz val="11"/>
        <color indexed="8"/>
        <rFont val="Verdana"/>
        <family val="2"/>
      </rPr>
      <t xml:space="preserve">, luego se busca el menor valor entre el costo de la celda </t>
    </r>
    <r>
      <rPr>
        <b/>
        <sz val="11"/>
        <color indexed="8"/>
        <rFont val="Verdana"/>
        <family val="2"/>
      </rPr>
      <t>"E48"</t>
    </r>
    <r>
      <rPr>
        <sz val="11"/>
        <color indexed="8"/>
        <rFont val="Verdana"/>
        <family val="2"/>
      </rPr>
      <t xml:space="preserve"> y </t>
    </r>
    <r>
      <rPr>
        <b/>
        <sz val="11"/>
        <color indexed="8"/>
        <rFont val="Verdana"/>
        <family val="2"/>
      </rPr>
      <t>"E48"</t>
    </r>
    <r>
      <rPr>
        <sz val="11"/>
        <color indexed="8"/>
        <rFont val="Verdana"/>
        <family val="2"/>
      </rPr>
      <t xml:space="preserve">, el menor valor resultante es llevado a celda </t>
    </r>
    <r>
      <rPr>
        <b/>
        <sz val="11"/>
        <color indexed="8"/>
        <rFont val="Verdana"/>
        <family val="2"/>
      </rPr>
      <t xml:space="preserve">"J49",
</t>
    </r>
    <r>
      <rPr>
        <sz val="11"/>
        <color indexed="8"/>
        <rFont val="Verdana"/>
        <family val="2"/>
      </rPr>
      <t xml:space="preserve">Finalmente se ingresa en celda </t>
    </r>
    <r>
      <rPr>
        <b/>
        <sz val="11"/>
        <color indexed="8"/>
        <rFont val="Verdana"/>
        <family val="2"/>
      </rPr>
      <t>"M49"</t>
    </r>
    <r>
      <rPr>
        <sz val="11"/>
        <color indexed="8"/>
        <rFont val="Verdana"/>
        <family val="2"/>
      </rPr>
      <t xml:space="preserve"> el valor de las publicaciones de acuerdo a tarifa fijada en “D-FC-01 LISTA DE TARIFA DE SERVICIOS”, este valor se suma a la celda </t>
    </r>
    <r>
      <rPr>
        <b/>
        <sz val="11"/>
        <color indexed="8"/>
        <rFont val="Verdana"/>
        <family val="2"/>
      </rPr>
      <t>"J50"</t>
    </r>
    <r>
      <rPr>
        <sz val="11"/>
        <color indexed="8"/>
        <rFont val="Verdana"/>
        <family val="2"/>
      </rPr>
      <t xml:space="preserve"> y se obtiene el </t>
    </r>
    <r>
      <rPr>
        <b/>
        <sz val="11"/>
        <color indexed="8"/>
        <rFont val="Verdana"/>
        <family val="2"/>
      </rPr>
      <t>TOTAL A PAGAR.</t>
    </r>
    <r>
      <rPr>
        <sz val="11"/>
        <color indexed="8"/>
        <rFont val="Verdana"/>
        <family val="2"/>
      </rPr>
      <t xml:space="preserve">
</t>
    </r>
  </si>
  <si>
    <t>Nota</t>
  </si>
  <si>
    <t>Para estos tramites solo se ralizan los pasos 1 y 5, el valor resultante será el que se cobre al Usuario. Mas los otros gastos que implique el tramite.</t>
  </si>
  <si>
    <r>
      <rPr>
        <b/>
        <sz val="10"/>
        <color indexed="8"/>
        <rFont val="ARIAL"/>
        <family val="2"/>
      </rPr>
      <t>Proyectos mayores a 2115 SMMV</t>
    </r>
    <r>
      <rPr>
        <sz val="10"/>
        <color indexed="8"/>
        <rFont val="Arial"/>
        <family val="2"/>
      </rPr>
      <t xml:space="preserve">. 
Las tarifas que se cobran por concepto de la prestación de los servicios de evaluación y de los servicios de seguimiento ambiental, según sea el caso, no podrán exceder los siguientes topes: 
1. Aquellos que tengan un valor de dos mil ciento quince (2.115) salarios mínimos mensuales vigentes, tendrán una tarifa máxima del cero punto seis por ciento (0.6%).
2. Aquellos que tengan un valor superior a los dos mil ciento quince (2.115) salarios mínimos mensuales vigentes e inferior a los ocho mil cuatrocientos cincuenta y ocho (8.458) salarios mínimos mensuales vigentes tendrán una tarifa máxima del cero punto cinco por ciento (0.5%).
3. Aquellos que tengan un valor superior a los ocho mil cuatrocientos cincuenta y ocho (8.458) salarios mínimos mensuales vigentes, tendrá una tarifa máxima del cero punto cuatro por ciento (0.4%).  </t>
    </r>
  </si>
  <si>
    <t>Certificación en materia de revisión de gases -centros de diagnóstico automotor - CDA.</t>
  </si>
  <si>
    <t xml:space="preserve">Certificación para la deducción por inversiones en control y mejoramiento del medio ambiente. Reguladas por el Decreto 3172 de 2003 </t>
  </si>
  <si>
    <t xml:space="preserve">Certificación ambiental para la desintegración vehicular. </t>
  </si>
  <si>
    <t xml:space="preserve">Licencia de funcionamiento para zoológicos. </t>
  </si>
  <si>
    <t>Diagnóstico ambiental de Alternativas</t>
  </si>
  <si>
    <t xml:space="preserve">Libro de registro para las actividades de taxidermia por encargo. </t>
  </si>
  <si>
    <t xml:space="preserve">Permiso para el estudio de los bosques naturales y de la flora silvestre. </t>
  </si>
  <si>
    <t xml:space="preserve">Permiso de investigación científica sobre diversidad biológica. </t>
  </si>
  <si>
    <t xml:space="preserve">Permiso de aprovechamiento del recurso flora. </t>
  </si>
  <si>
    <t xml:space="preserve">Permisos y autorizaciones de aprovechamiento forestal persistente en bosque natural. </t>
  </si>
  <si>
    <t xml:space="preserve">Permisos y autorizaciones de aprovechamiento forestal doméstico. </t>
  </si>
  <si>
    <t xml:space="preserve">Permiso de aprovechamiento de árboles aislados. </t>
  </si>
  <si>
    <t xml:space="preserve">Permiso ambiental para un jardín botánico. </t>
  </si>
  <si>
    <t xml:space="preserve">Permiso de actividades para procesamiento, transformación y/o comercialización. (relacionado con permiso de caza) </t>
  </si>
  <si>
    <t xml:space="preserve">Permiso de prospección y exploración de aguas subterráneas. </t>
  </si>
  <si>
    <t xml:space="preserve">Permiso de emisiones atmosféricas. </t>
  </si>
  <si>
    <t xml:space="preserve">Plan de Saneamiento y Manejo de Vertimientos -PSMV- </t>
  </si>
  <si>
    <t xml:space="preserve">Registro plantaciones protectoras o protectoras productoras. </t>
  </si>
  <si>
    <t xml:space="preserve">Registro del libro de operaciones de empresas e industrias forestales. </t>
  </si>
  <si>
    <t xml:space="preserve">Registro del libro de operaciones de productos de la flora no obtenidos mediante aprovechamiento del medio natural </t>
  </si>
  <si>
    <t>Sustracción de áreas protegidas del SINAP o de estrategias de conservación in situ</t>
  </si>
  <si>
    <t>Los demás instrumentos de control y manejo ambiental, definidos en la normatividad ambiental vigente, no relacionados en esta lista enunciativa.</t>
  </si>
  <si>
    <t>R-FC-88</t>
  </si>
  <si>
    <t>01</t>
  </si>
  <si>
    <t xml:space="preserve">Otros: </t>
  </si>
  <si>
    <t>Instructivo para diligenciar el formato R-FC-88: Tabla Única Para la Liquidación de la Tarifa</t>
  </si>
  <si>
    <t>%
 Incremento Salario</t>
  </si>
  <si>
    <t xml:space="preserve">Autorizaciones para CAVR1 y Amigos de la fauna. </t>
  </si>
  <si>
    <t>Levantamiento de vedas o de restricción al uso y aprovechamiento de especies forestales. En el marco de licencias ambientales, aprovechamientos forestales únicos, o cualquier otro trámite que así lo exija. decreto 2106 -2019</t>
  </si>
  <si>
    <t xml:space="preserve">Permiso de estudio para la recolección de especímenes de especies silvestres de la diversidad biológica con fines de elaboración de estudios ambientales. </t>
  </si>
  <si>
    <t>JEFE OFICINA JURIDICA</t>
  </si>
  <si>
    <t>NOTA: Cada año se debe actualizar los valores de honorarios y viaticos de los funcionarios vigentes , igualmente registrar el IPC y salario minimo vigente.</t>
  </si>
  <si>
    <t>REMUNERACION PARA CONTRATOS DE 2023</t>
  </si>
  <si>
    <t>Director@ General</t>
  </si>
  <si>
    <t>Subdirector@</t>
  </si>
  <si>
    <t>DIRECTOR@ GENERAL</t>
  </si>
  <si>
    <t>SUBDIRECTOR@</t>
  </si>
  <si>
    <t xml:space="preserve">Revisó: </t>
  </si>
  <si>
    <t>Honorarios 2023 MADS
 (hasta)</t>
  </si>
  <si>
    <t>7-24 MER O L</t>
  </si>
  <si>
    <t>MADS</t>
  </si>
  <si>
    <t>Experto SIG</t>
  </si>
  <si>
    <t>Juridica Inicial</t>
  </si>
  <si>
    <t>Firma auto de inicio</t>
  </si>
  <si>
    <t>Evaluación y Visita Técnica</t>
  </si>
  <si>
    <t>Análisis Cartográfico</t>
  </si>
  <si>
    <t>Revisión coordinador Inf Tco</t>
  </si>
  <si>
    <t>Proyección acto administrativo</t>
  </si>
  <si>
    <t>Revisión Acto Administrativo</t>
  </si>
  <si>
    <t>Revisón coordinador SGAA</t>
  </si>
  <si>
    <t>Revisión secretario general</t>
  </si>
  <si>
    <t>Firma del acto administrativo</t>
  </si>
  <si>
    <t>Autorizacion de Zona de Depositos de Materiales</t>
  </si>
  <si>
    <t>Expediente / solicitud:</t>
  </si>
  <si>
    <t>Dirección de la empresa:</t>
  </si>
  <si>
    <t>Nombre del predio:</t>
  </si>
  <si>
    <t>Municipio, vereda o cgto:</t>
  </si>
  <si>
    <t>Información del predio</t>
  </si>
  <si>
    <t>Información del propietario</t>
  </si>
  <si>
    <t>02</t>
  </si>
  <si>
    <t>Actuación</t>
  </si>
  <si>
    <t>Renovación</t>
  </si>
  <si>
    <t>Prórroga</t>
  </si>
  <si>
    <t>Obtención (inicio)</t>
  </si>
  <si>
    <t>Tipos de Trámite</t>
  </si>
  <si>
    <t>Categoria  MADS</t>
  </si>
  <si>
    <t>Valor pyto</t>
  </si>
  <si>
    <t>Honorarios CORPOURABA</t>
  </si>
  <si>
    <t>Otras Ingenierías</t>
  </si>
  <si>
    <t>Actualizado 01/2026</t>
  </si>
  <si>
    <t>Concepto tecnico</t>
  </si>
  <si>
    <t>Tarifa máxima</t>
  </si>
  <si>
    <t>Proyectó:</t>
  </si>
  <si>
    <t>Ingeniería Agropecuario</t>
  </si>
  <si>
    <t>Otras tecnologías y/o técnicas</t>
  </si>
  <si>
    <t>Ingeniería Acuícola</t>
  </si>
  <si>
    <t>SI PROYECTO ES MENOR A 2115 SMMLV, PAGA EL MENOR VALOR RESULTANTE VALOR #1 Y #2</t>
  </si>
  <si>
    <t>Valor proyecto*</t>
  </si>
  <si>
    <t>* Ver resolución 100-03-10-99-0001-2026 ARTÍCULO 10°. El sujeto pasivo de la obligación deberá suministrar el valor del proyecto, obra o actividad, actualizado en pesos colombianos (COP$), de manera veraz y ajustada a las condiciones reales del mismo.  (Incluyendo Costos de Inversión y Costos de Operación durante la vigencia)</t>
  </si>
  <si>
    <t>Biología</t>
  </si>
  <si>
    <t>Cartografía</t>
  </si>
  <si>
    <t>Ecología</t>
  </si>
  <si>
    <t>Ingeniería Ambiental </t>
  </si>
  <si>
    <t>Geología</t>
  </si>
  <si>
    <t>Ingeniería civil</t>
  </si>
  <si>
    <t>Ingeniería Forestal</t>
  </si>
  <si>
    <t>Ingeniería Geólogo</t>
  </si>
  <si>
    <t>Ingeniería Oceanográfico </t>
  </si>
  <si>
    <t>Ingeniería Sanitario</t>
  </si>
  <si>
    <t>Microbiólogía</t>
  </si>
  <si>
    <t>Oceanógrafía</t>
  </si>
  <si>
    <t>Tecnología Forestal</t>
  </si>
  <si>
    <t>Trabajador Social</t>
  </si>
  <si>
    <t>Fuente: Resolución MADS 0146 del 21-02-2023</t>
  </si>
  <si>
    <t>Honorarios 2026
(IPC 2023 a 2025)</t>
  </si>
  <si>
    <t xml:space="preserve">Actividades relacionadas con la gestión ambiental integral de equipos y desechos que consisten, contienen o están contaminados con Bifenilos Policlorados (PCB). </t>
  </si>
  <si>
    <t>Licencias ambientales</t>
  </si>
  <si>
    <t xml:space="preserve">Actividades relacionadas con la gestión de los aceites de cocina usados. </t>
  </si>
  <si>
    <t>Certificación minero numeral 1.3.1. orden tercera de la sentencia No. 250002341000201302455901</t>
  </si>
  <si>
    <t>Cesión y/o traspaso con visita técnica</t>
  </si>
  <si>
    <t>Certificados que requieran análisis cartográfico y/o visita técnica</t>
  </si>
  <si>
    <t xml:space="preserve">Concesión de aguas subterráneas.  </t>
  </si>
  <si>
    <t>Evaluación planes parciales</t>
  </si>
  <si>
    <t>Modificación</t>
  </si>
  <si>
    <t>Permiso de ocupación de un cauce, playas y lechos</t>
  </si>
  <si>
    <t>Permiso para el estudio de recursos naturales renovables</t>
  </si>
  <si>
    <t>Permisos y autorizaciones de aprovechamiento forestal único</t>
  </si>
  <si>
    <t>Plan de contingencia para el manejo de derrames de hidrocarburos o sustancias nocivas</t>
  </si>
  <si>
    <t>Plan de gestión integral de residuos sólidos – PGIRS</t>
  </si>
  <si>
    <t>Seguimiento a emisiones atmosféricas exentas de permiso, pero sujetas a verificación de cumplimiento de los estándares de emisión para cada uno de los contaminantes, en virtud de lo dispuesto en la resolución 909 de 2008</t>
  </si>
  <si>
    <t>Seguimiento y control a las actividades realizadas por los generadores y gestores de RCD (Residuos generados en las actividades de construcción y demolición), no sujetas a licencia ambiental</t>
  </si>
  <si>
    <t>Seguimiento a trámites ambientales</t>
  </si>
  <si>
    <r>
      <t>Viáticos:</t>
    </r>
    <r>
      <rPr>
        <sz val="11"/>
        <rFont val="Verdana"/>
        <family val="2"/>
      </rPr>
      <t xml:space="preserve"> Para calcular estos costos, se selecciona la fila donde se encuentra el tipo de profesional o contratistas que debe realizar visita de campo, en la columna "G" se digita el número de visitas a realizar y en la columna "H" la duración (días) de cada visita, para este cálculo la columna "L" debe quedar en blanco o llenar con cero (0) si la duración de la visita es menor a un día.  Se repite el proceso por cada profesional o contratista que debe realizar visita de campo. 
Una vez se ingresada esta información se calculará, en la columna </t>
    </r>
    <r>
      <rPr>
        <b/>
        <sz val="11"/>
        <rFont val="Verdana"/>
        <family val="2"/>
      </rPr>
      <t>"M",</t>
    </r>
    <r>
      <rPr>
        <sz val="11"/>
        <rFont val="Verdana"/>
        <family val="2"/>
      </rPr>
      <t xml:space="preserve"> el valor total de los honorarios de los profesionales requeridos para la realización de la tarea propuesta.
</t>
    </r>
    <r>
      <rPr>
        <b/>
        <sz val="11"/>
        <rFont val="Verdana"/>
        <family val="2"/>
      </rPr>
      <t>Gastos de viaje:</t>
    </r>
    <r>
      <rPr>
        <sz val="11"/>
        <rFont val="Verdana"/>
        <family val="2"/>
      </rPr>
      <t xml:space="preserve"> sobre el estimativo de visitas a la zona del proyecto se calculará el monto de los gastos de viaje necesarios, valor del transporte de la lista de tarifas D-FC-01. El valor por concepto de gastos de viaje se debe ingresar o calcular en la celda </t>
    </r>
    <r>
      <rPr>
        <b/>
        <sz val="11"/>
        <rFont val="Verdana"/>
        <family val="2"/>
      </rPr>
      <t>"M43".</t>
    </r>
  </si>
  <si>
    <r>
      <t xml:space="preserve">A) La </t>
    </r>
    <r>
      <rPr>
        <b/>
        <sz val="11"/>
        <color indexed="8"/>
        <rFont val="Verdana"/>
        <family val="2"/>
      </rPr>
      <t>TABLA UNICA PARA LA LIQUIDACIÓN DE LA TARIFA</t>
    </r>
    <r>
      <rPr>
        <sz val="11"/>
        <color indexed="8"/>
        <rFont val="Verdana"/>
        <family val="2"/>
      </rPr>
      <t xml:space="preserve"> calcula el valor del costo del servicio con base al valor del proyecto ingresado y busca el valor máximo a cobrar, dicho resultado lo ubica en la celda </t>
    </r>
    <r>
      <rPr>
        <b/>
        <sz val="11"/>
        <color indexed="8"/>
        <rFont val="Verdana"/>
        <family val="2"/>
      </rPr>
      <t>"E48</t>
    </r>
    <r>
      <rPr>
        <sz val="11"/>
        <color indexed="8"/>
        <rFont val="Verdana"/>
        <family val="2"/>
      </rPr>
      <t xml:space="preserve">", automáticamente busca el menor valor entre el costo de la celda </t>
    </r>
    <r>
      <rPr>
        <b/>
        <sz val="11"/>
        <color indexed="8"/>
        <rFont val="Verdana"/>
        <family val="2"/>
      </rPr>
      <t>"E48"</t>
    </r>
    <r>
      <rPr>
        <sz val="11"/>
        <color indexed="8"/>
        <rFont val="Verdana"/>
        <family val="2"/>
      </rPr>
      <t xml:space="preserve"> y </t>
    </r>
    <r>
      <rPr>
        <b/>
        <sz val="11"/>
        <color indexed="8"/>
        <rFont val="Verdana"/>
        <family val="2"/>
      </rPr>
      <t>"E48"</t>
    </r>
    <r>
      <rPr>
        <sz val="11"/>
        <color indexed="8"/>
        <rFont val="Verdana"/>
        <family val="2"/>
      </rPr>
      <t>, el menor valor resultante es asignado a la celda</t>
    </r>
    <r>
      <rPr>
        <b/>
        <sz val="11"/>
        <color indexed="8"/>
        <rFont val="Verdana"/>
        <family val="2"/>
      </rPr>
      <t xml:space="preserve"> "J50"</t>
    </r>
    <r>
      <rPr>
        <sz val="11"/>
        <color indexed="8"/>
        <rFont val="Verdana"/>
        <family val="2"/>
      </rPr>
      <t xml:space="preserve">,
Finalmente se ingresa en celda </t>
    </r>
    <r>
      <rPr>
        <b/>
        <sz val="11"/>
        <color indexed="8"/>
        <rFont val="Verdana"/>
        <family val="2"/>
      </rPr>
      <t>"M49"</t>
    </r>
    <r>
      <rPr>
        <sz val="11"/>
        <color indexed="8"/>
        <rFont val="Verdana"/>
        <family val="2"/>
      </rPr>
      <t xml:space="preserve"> el valor de cualquier otro gasto no contemplado y que se puede buscar en la  “D-FC-01 LISTA DE TARIFA DE SERVICIOS”, este valor se suma a la celda </t>
    </r>
    <r>
      <rPr>
        <b/>
        <sz val="11"/>
        <color indexed="8"/>
        <rFont val="Verdana"/>
        <family val="2"/>
      </rPr>
      <t>"J50"</t>
    </r>
    <r>
      <rPr>
        <sz val="11"/>
        <color indexed="8"/>
        <rFont val="Verdana"/>
        <family val="2"/>
      </rPr>
      <t xml:space="preserve"> y se obtiene el </t>
    </r>
    <r>
      <rPr>
        <b/>
        <sz val="11"/>
        <color indexed="8"/>
        <rFont val="Verdana"/>
        <family val="2"/>
      </rPr>
      <t>TOTAL A PAGAR.</t>
    </r>
    <r>
      <rPr>
        <sz val="11"/>
        <color indexed="8"/>
        <rFont val="Verdana"/>
        <family val="2"/>
      </rPr>
      <t xml:space="preserve">
</t>
    </r>
  </si>
  <si>
    <r>
      <t>Ingresar el valor del proyecto reportado por el usuario en la celda "</t>
    </r>
    <r>
      <rPr>
        <b/>
        <sz val="11"/>
        <rFont val="Verdana"/>
        <family val="2"/>
      </rPr>
      <t>E43</t>
    </r>
    <r>
      <rPr>
        <sz val="11"/>
        <rFont val="Verdana"/>
        <family val="2"/>
      </rPr>
      <t>": Ver resolución 100-03-10-99-0001-2026 ARTÍCULO 10°. El sujeto pasivo de la obligación deberá suministrar el valor del proyecto, obra o actividad, actualizado en pesos colombianos (COP$), de manera veraz y ajustada a las condiciones reales del mismo.  (Incluyendo Costos de Inversión y Costos de Operación durante la vigencia)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</si>
</sst>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1" formatCode="_-* #,##0_-;\-* #,##0_-;_-* &quot;-&quot;_-;_-@_-"/>
    <numFmt numFmtId="164" formatCode="&quot;$&quot;\ #,##0_);\(&quot;$&quot;\ #,##0\)"/>
    <numFmt numFmtId="165" formatCode="&quot;$&quot;\ #,##0_);[Red]\(&quot;$&quot;\ #,##0\)"/>
    <numFmt numFmtId="166" formatCode="_(&quot;$&quot;\ * #,##0_);_(&quot;$&quot;\ * \(#,##0\);_(&quot;$&quot;\ * &quot;-&quot;_);_(@_)"/>
    <numFmt numFmtId="167" formatCode="_(&quot;$&quot;\ * #,##0.00_);_(&quot;$&quot;\ * \(#,##0.00\);_(&quot;$&quot;\ * &quot;-&quot;??_);_(@_)"/>
    <numFmt numFmtId="168" formatCode="_(* #,##0.00_);_(* \(#,##0.00\);_(* &quot;-&quot;??_);_(@_)"/>
    <numFmt numFmtId="169" formatCode="_(* #,##0_);_(* \(#,##0\);_(* &quot;-&quot;??_);_(@_)"/>
    <numFmt numFmtId="170" formatCode="&quot;$&quot;#,##0"/>
    <numFmt numFmtId="171" formatCode="_(&quot;$&quot;\ * #,##0_);_(&quot;$&quot;\ * \(#,##0\);_(&quot;$&quot;\ * &quot;-&quot;??_);_(@_)"/>
    <numFmt numFmtId="172" formatCode="0_)"/>
    <numFmt numFmtId="173" formatCode="0.000%"/>
    <numFmt numFmtId="174" formatCode="_(* #,##0.000_);_(* \(#,##0.000\);_(* &quot;-&quot;??_);_(@_)"/>
  </numFmts>
  <fonts count="88" x14ac:knownFonts="1">
    <font>
      <sz val="10"/>
      <color indexed="8"/>
      <name val="ARIAL"/>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b/>
      <sz val="10"/>
      <color indexed="8"/>
      <name val="ARIAL"/>
      <family val="2"/>
    </font>
    <font>
      <sz val="10"/>
      <color indexed="8"/>
      <name val="Arial"/>
      <family val="2"/>
    </font>
    <font>
      <b/>
      <sz val="9"/>
      <color rgb="FF000000"/>
      <name val="Verdana"/>
      <family val="2"/>
    </font>
    <font>
      <sz val="9"/>
      <color rgb="FF000000"/>
      <name val="Verdana"/>
      <family val="2"/>
    </font>
    <font>
      <b/>
      <sz val="12"/>
      <color indexed="8"/>
      <name val="ARIAL"/>
      <family val="2"/>
    </font>
    <font>
      <b/>
      <sz val="10"/>
      <color indexed="8"/>
      <name val="Verdana"/>
      <family val="2"/>
    </font>
    <font>
      <sz val="10"/>
      <color indexed="8"/>
      <name val="Verdana"/>
      <family val="2"/>
    </font>
    <font>
      <sz val="10"/>
      <color indexed="8"/>
      <name val="Arial"/>
      <family val="2"/>
    </font>
    <font>
      <sz val="11"/>
      <name val="Calibri"/>
      <family val="2"/>
      <scheme val="minor"/>
    </font>
    <font>
      <b/>
      <sz val="12"/>
      <name val="Verdana"/>
      <family val="2"/>
    </font>
    <font>
      <sz val="9"/>
      <name val="Verdana"/>
      <family val="2"/>
    </font>
    <font>
      <sz val="7"/>
      <name val="Verdana"/>
      <family val="2"/>
    </font>
    <font>
      <b/>
      <sz val="11"/>
      <name val="Verdana"/>
      <family val="2"/>
    </font>
    <font>
      <sz val="11"/>
      <name val="Verdana"/>
      <family val="2"/>
    </font>
    <font>
      <sz val="6"/>
      <name val="Verdana"/>
      <family val="2"/>
    </font>
    <font>
      <sz val="10"/>
      <name val="Times New Roman"/>
      <family val="1"/>
    </font>
    <font>
      <sz val="8"/>
      <name val="Verdana"/>
      <family val="2"/>
    </font>
    <font>
      <b/>
      <sz val="9"/>
      <name val="Verdana"/>
      <family val="2"/>
    </font>
    <font>
      <i/>
      <sz val="9"/>
      <name val="Verdana"/>
      <family val="2"/>
    </font>
    <font>
      <b/>
      <sz val="10"/>
      <name val="Verdana"/>
      <family val="2"/>
    </font>
    <font>
      <b/>
      <sz val="11"/>
      <color theme="1"/>
      <name val="Calibri"/>
      <family val="2"/>
      <scheme val="minor"/>
    </font>
    <font>
      <b/>
      <sz val="18"/>
      <color theme="1"/>
      <name val="Calibri"/>
      <family val="2"/>
      <scheme val="minor"/>
    </font>
    <font>
      <b/>
      <sz val="12"/>
      <color theme="1"/>
      <name val="Calibri"/>
      <family val="2"/>
      <scheme val="minor"/>
    </font>
    <font>
      <b/>
      <sz val="14"/>
      <color theme="1"/>
      <name val="Calibri"/>
      <family val="2"/>
      <scheme val="minor"/>
    </font>
    <font>
      <b/>
      <sz val="11"/>
      <name val="Calibri"/>
      <family val="2"/>
      <scheme val="minor"/>
    </font>
    <font>
      <b/>
      <sz val="14"/>
      <name val="Verdana"/>
      <family val="2"/>
    </font>
    <font>
      <b/>
      <sz val="10"/>
      <name val="Arial"/>
      <family val="2"/>
    </font>
    <font>
      <sz val="11"/>
      <name val="Arial"/>
      <family val="2"/>
    </font>
    <font>
      <b/>
      <sz val="18"/>
      <name val="Calibri"/>
      <family val="2"/>
      <scheme val="minor"/>
    </font>
    <font>
      <b/>
      <sz val="16"/>
      <color indexed="8"/>
      <name val="ARIAL"/>
      <family val="2"/>
    </font>
    <font>
      <b/>
      <sz val="11"/>
      <color rgb="FF000000"/>
      <name val="Times New Roman"/>
      <family val="1"/>
    </font>
    <font>
      <sz val="11"/>
      <color rgb="FF000000"/>
      <name val="Times New Roman"/>
      <family val="1"/>
    </font>
    <font>
      <i/>
      <sz val="11"/>
      <color rgb="FF000000"/>
      <name val="Times New Roman"/>
      <family val="1"/>
    </font>
    <font>
      <b/>
      <i/>
      <sz val="14"/>
      <color rgb="FF000000"/>
      <name val="Times New Roman"/>
      <family val="1"/>
    </font>
    <font>
      <sz val="20"/>
      <color theme="1"/>
      <name val="Calibri"/>
      <family val="2"/>
      <scheme val="minor"/>
    </font>
    <font>
      <b/>
      <sz val="16"/>
      <color rgb="FF000000"/>
      <name val="Times New Roman"/>
      <family val="1"/>
    </font>
    <font>
      <sz val="10"/>
      <color rgb="FFC65911"/>
      <name val="Arial"/>
      <family val="2"/>
    </font>
    <font>
      <b/>
      <sz val="16"/>
      <color theme="1"/>
      <name val="Calibri"/>
      <family val="2"/>
      <scheme val="minor"/>
    </font>
    <font>
      <b/>
      <sz val="16"/>
      <color rgb="FFFF0000"/>
      <name val="Calibri"/>
      <family val="2"/>
      <scheme val="minor"/>
    </font>
    <font>
      <sz val="11"/>
      <color rgb="FF404040"/>
      <name val="Arial"/>
      <family val="2"/>
    </font>
    <font>
      <sz val="11"/>
      <color indexed="8"/>
      <name val="Arial"/>
      <family val="2"/>
    </font>
    <font>
      <b/>
      <sz val="11"/>
      <color indexed="8"/>
      <name val="Arial"/>
      <family val="2"/>
    </font>
    <font>
      <b/>
      <sz val="11"/>
      <color theme="1"/>
      <name val="Arial"/>
      <family val="2"/>
    </font>
    <font>
      <b/>
      <sz val="18"/>
      <color rgb="FF002060"/>
      <name val="Calibri"/>
      <family val="2"/>
      <scheme val="minor"/>
    </font>
    <font>
      <sz val="12"/>
      <color theme="1"/>
      <name val="Calibri"/>
      <family val="2"/>
      <scheme val="minor"/>
    </font>
    <font>
      <sz val="10"/>
      <name val="Verdana"/>
      <family val="2"/>
    </font>
    <font>
      <sz val="10"/>
      <name val="Arial"/>
      <family val="2"/>
    </font>
    <font>
      <sz val="9"/>
      <color indexed="81"/>
      <name val="Tahoma"/>
      <family val="2"/>
    </font>
    <font>
      <b/>
      <sz val="9"/>
      <color indexed="81"/>
      <name val="Tahoma"/>
      <family val="2"/>
    </font>
    <font>
      <i/>
      <sz val="8"/>
      <color indexed="8"/>
      <name val="ARIAL"/>
      <family val="2"/>
    </font>
    <font>
      <sz val="11"/>
      <color rgb="FFFF0000"/>
      <name val="Calibri"/>
      <family val="2"/>
      <scheme val="minor"/>
    </font>
    <font>
      <b/>
      <sz val="7.5"/>
      <color rgb="FF333333"/>
      <name val="Arial"/>
      <family val="2"/>
    </font>
    <font>
      <sz val="7.5"/>
      <color rgb="FF333333"/>
      <name val="Arial"/>
      <family val="2"/>
    </font>
    <font>
      <b/>
      <sz val="9"/>
      <color rgb="FF333333"/>
      <name val="Arial"/>
      <family val="2"/>
    </font>
    <font>
      <sz val="10"/>
      <color rgb="FFFF0000"/>
      <name val="Courier New"/>
      <family val="3"/>
    </font>
    <font>
      <sz val="10"/>
      <color rgb="FFFF0000"/>
      <name val="Arial"/>
      <family val="2"/>
    </font>
    <font>
      <sz val="8"/>
      <color rgb="FF333333"/>
      <name val="Arial"/>
      <family val="2"/>
    </font>
    <font>
      <sz val="11"/>
      <color rgb="FF333333"/>
      <name val="Arial"/>
      <family val="2"/>
    </font>
    <font>
      <b/>
      <sz val="11"/>
      <name val="Arial"/>
      <family val="2"/>
    </font>
    <font>
      <sz val="11"/>
      <color rgb="FF000000"/>
      <name val="Calibri"/>
      <family val="2"/>
    </font>
    <font>
      <b/>
      <sz val="18"/>
      <name val="Arial"/>
      <family val="2"/>
    </font>
    <font>
      <sz val="8"/>
      <name val="Arial"/>
      <family val="2"/>
    </font>
    <font>
      <b/>
      <sz val="12"/>
      <color rgb="FF000000"/>
      <name val="Calibri"/>
      <family val="2"/>
    </font>
    <font>
      <b/>
      <sz val="10"/>
      <color theme="0"/>
      <name val="Calibri"/>
      <family val="2"/>
    </font>
    <font>
      <sz val="12"/>
      <color indexed="8"/>
      <name val="Verdana"/>
      <family val="2"/>
    </font>
    <font>
      <u/>
      <sz val="10"/>
      <color theme="10"/>
      <name val="Arial"/>
      <family val="2"/>
    </font>
    <font>
      <sz val="10"/>
      <color indexed="8"/>
      <name val="Arial"/>
      <family val="2"/>
    </font>
    <font>
      <sz val="12"/>
      <color rgb="FF333333"/>
      <name val="Arial"/>
      <family val="2"/>
    </font>
    <font>
      <sz val="11"/>
      <color indexed="8"/>
      <name val="Verdana"/>
      <family val="2"/>
    </font>
    <font>
      <b/>
      <sz val="9"/>
      <name val="Arial"/>
      <family val="2"/>
    </font>
    <font>
      <sz val="9"/>
      <name val="Arial"/>
      <family val="2"/>
    </font>
    <font>
      <sz val="9"/>
      <color rgb="FFFF0000"/>
      <name val="Arial"/>
      <family val="2"/>
    </font>
    <font>
      <b/>
      <sz val="11"/>
      <color indexed="8"/>
      <name val="Verdana"/>
      <family val="2"/>
    </font>
    <font>
      <b/>
      <sz val="16"/>
      <name val="Arial"/>
      <family val="2"/>
    </font>
    <font>
      <b/>
      <i/>
      <sz val="11"/>
      <name val="Verdana"/>
      <family val="2"/>
    </font>
    <font>
      <sz val="9"/>
      <color indexed="8"/>
      <name val="Arial"/>
      <family val="2"/>
    </font>
    <font>
      <sz val="8"/>
      <color indexed="8"/>
      <name val="Calibri"/>
      <family val="2"/>
    </font>
    <font>
      <sz val="8"/>
      <color rgb="FFFF0000"/>
      <name val="Arial"/>
      <family val="2"/>
    </font>
    <font>
      <b/>
      <sz val="8"/>
      <name val="Arial"/>
      <family val="2"/>
    </font>
    <font>
      <b/>
      <sz val="9"/>
      <color indexed="8"/>
      <name val="ARIAL"/>
      <family val="2"/>
    </font>
    <font>
      <sz val="8"/>
      <color indexed="8"/>
      <name val="Arial"/>
      <family val="2"/>
    </font>
  </fonts>
  <fills count="2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6" tint="0.39997558519241921"/>
        <bgColor indexed="64"/>
      </patternFill>
    </fill>
    <fill>
      <patternFill patternType="solid">
        <fgColor rgb="FFFFFFCC"/>
        <bgColor indexed="64"/>
      </patternFill>
    </fill>
    <fill>
      <patternFill patternType="solid">
        <fgColor rgb="FF0070C0"/>
        <bgColor indexed="64"/>
      </patternFill>
    </fill>
    <fill>
      <patternFill patternType="solid">
        <fgColor theme="7" tint="-0.249977111117893"/>
        <bgColor indexed="64"/>
      </patternFill>
    </fill>
    <fill>
      <patternFill patternType="solid">
        <fgColor theme="9" tint="0.39997558519241921"/>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92D050"/>
        <bgColor indexed="64"/>
      </patternFill>
    </fill>
    <fill>
      <patternFill patternType="solid">
        <fgColor rgb="FF00B0F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7" tint="0.39991454817346722"/>
        <bgColor indexed="64"/>
      </patternFill>
    </fill>
    <fill>
      <patternFill patternType="solid">
        <fgColor rgb="FFC0C0C0"/>
        <bgColor rgb="FFCCCCFF"/>
      </patternFill>
    </fill>
    <fill>
      <patternFill patternType="solid">
        <fgColor theme="9" tint="-0.249977111117893"/>
        <bgColor rgb="FF808080"/>
      </patternFill>
    </fill>
    <fill>
      <patternFill patternType="solid">
        <fgColor theme="0" tint="-0.14999847407452621"/>
        <bgColor indexed="64"/>
      </patternFill>
    </fill>
    <fill>
      <patternFill patternType="solid">
        <fgColor theme="3" tint="0.79998168889431442"/>
        <bgColor indexed="64"/>
      </patternFill>
    </fill>
    <fill>
      <patternFill patternType="solid">
        <fgColor indexed="9"/>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style="thin">
        <color indexed="64"/>
      </top>
      <bottom style="thin">
        <color indexed="64"/>
      </bottom>
      <diagonal/>
    </border>
    <border>
      <left style="medium">
        <color indexed="64"/>
      </left>
      <right/>
      <top/>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right/>
      <top style="dotted">
        <color indexed="64"/>
      </top>
      <bottom style="dotted">
        <color indexed="64"/>
      </bottom>
      <diagonal/>
    </border>
    <border>
      <left/>
      <right style="dotted">
        <color indexed="64"/>
      </right>
      <top/>
      <bottom/>
      <diagonal/>
    </border>
    <border>
      <left style="dotted">
        <color indexed="64"/>
      </left>
      <right style="dotted">
        <color indexed="64"/>
      </right>
      <top/>
      <bottom style="dotted">
        <color indexed="64"/>
      </bottom>
      <diagonal/>
    </border>
    <border>
      <left style="dotted">
        <color indexed="64"/>
      </left>
      <right/>
      <top/>
      <bottom/>
      <diagonal/>
    </border>
    <border>
      <left style="dotted">
        <color indexed="64"/>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dotted">
        <color indexed="64"/>
      </top>
      <bottom/>
      <diagonal/>
    </border>
    <border>
      <left style="thin">
        <color indexed="64"/>
      </left>
      <right/>
      <top style="thin">
        <color indexed="64"/>
      </top>
      <bottom style="thin">
        <color indexed="64"/>
      </bottom>
      <diagonal/>
    </border>
    <border>
      <left/>
      <right/>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bottom/>
      <diagonal/>
    </border>
    <border>
      <left style="thin">
        <color indexed="64"/>
      </left>
      <right/>
      <top/>
      <bottom/>
      <diagonal/>
    </border>
    <border>
      <left/>
      <right/>
      <top style="double">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rgb="FF000000"/>
      </left>
      <right/>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medium">
        <color rgb="FF000000"/>
      </left>
      <right/>
      <top/>
      <bottom style="thin">
        <color indexed="64"/>
      </bottom>
      <diagonal/>
    </border>
    <border>
      <left style="medium">
        <color indexed="64"/>
      </left>
      <right/>
      <top/>
      <bottom style="medium">
        <color indexed="64"/>
      </bottom>
      <diagonal/>
    </border>
  </borders>
  <cellStyleXfs count="8">
    <xf numFmtId="0" fontId="0" fillId="0" borderId="0">
      <alignment vertical="top"/>
    </xf>
    <xf numFmtId="168" fontId="8" fillId="0" borderId="0" applyFont="0" applyFill="0" applyBorder="0" applyAlignment="0" applyProtection="0"/>
    <xf numFmtId="9" fontId="14" fillId="0" borderId="0" applyFont="0" applyFill="0" applyBorder="0" applyAlignment="0" applyProtection="0"/>
    <xf numFmtId="0" fontId="5" fillId="0" borderId="0"/>
    <xf numFmtId="167" fontId="14" fillId="0" borderId="0" applyFont="0" applyFill="0" applyBorder="0" applyAlignment="0" applyProtection="0"/>
    <xf numFmtId="0" fontId="72" fillId="0" borderId="0" applyNumberFormat="0" applyFill="0" applyBorder="0" applyAlignment="0" applyProtection="0">
      <alignment vertical="top"/>
    </xf>
    <xf numFmtId="41" fontId="73" fillId="0" borderId="0" applyFont="0" applyFill="0" applyBorder="0" applyAlignment="0" applyProtection="0"/>
    <xf numFmtId="0" fontId="53" fillId="0" borderId="0"/>
  </cellStyleXfs>
  <cellXfs count="596">
    <xf numFmtId="0" fontId="0" fillId="0" borderId="0" xfId="0">
      <alignment vertical="top"/>
    </xf>
    <xf numFmtId="0" fontId="0" fillId="0" borderId="1" xfId="0" applyBorder="1">
      <alignment vertical="top"/>
    </xf>
    <xf numFmtId="0" fontId="0" fillId="0" borderId="1" xfId="0" applyBorder="1" applyAlignment="1">
      <alignment horizontal="center" vertical="top"/>
    </xf>
    <xf numFmtId="3" fontId="0" fillId="0" borderId="1" xfId="0" applyNumberFormat="1" applyBorder="1">
      <alignment vertical="top"/>
    </xf>
    <xf numFmtId="0" fontId="6" fillId="0" borderId="1" xfId="0" applyFont="1" applyBorder="1">
      <alignment vertical="top"/>
    </xf>
    <xf numFmtId="0" fontId="6" fillId="0" borderId="0" xfId="0" applyFont="1">
      <alignment vertical="top"/>
    </xf>
    <xf numFmtId="0" fontId="6" fillId="0" borderId="0" xfId="0" applyFont="1" applyAlignment="1">
      <alignment horizontal="center" vertical="top" wrapText="1"/>
    </xf>
    <xf numFmtId="169" fontId="0" fillId="0" borderId="0" xfId="1" applyNumberFormat="1" applyFont="1" applyAlignment="1">
      <alignment vertical="top"/>
    </xf>
    <xf numFmtId="0" fontId="7" fillId="0" borderId="0" xfId="0" applyFont="1">
      <alignment vertical="top"/>
    </xf>
    <xf numFmtId="169" fontId="6" fillId="0" borderId="0" xfId="1" applyNumberFormat="1" applyFont="1" applyAlignment="1">
      <alignment vertical="top"/>
    </xf>
    <xf numFmtId="0" fontId="11" fillId="0" borderId="0" xfId="0" applyFont="1">
      <alignment vertical="top"/>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0" fillId="0" borderId="0" xfId="0" applyAlignment="1">
      <alignment horizontal="left" vertical="top"/>
    </xf>
    <xf numFmtId="0" fontId="13" fillId="0" borderId="1" xfId="0" applyFont="1" applyBorder="1" applyAlignment="1">
      <alignment vertical="center"/>
    </xf>
    <xf numFmtId="3" fontId="13" fillId="0" borderId="1" xfId="0" applyNumberFormat="1" applyFont="1" applyBorder="1" applyAlignment="1">
      <alignment horizontal="right" vertical="center"/>
    </xf>
    <xf numFmtId="0" fontId="9" fillId="0" borderId="0" xfId="0" applyFont="1" applyAlignment="1">
      <alignment horizontal="center" vertical="center" wrapText="1"/>
    </xf>
    <xf numFmtId="165" fontId="10" fillId="0" borderId="0" xfId="0" applyNumberFormat="1" applyFont="1" applyAlignment="1">
      <alignment horizontal="center" vertical="center" wrapText="1"/>
    </xf>
    <xf numFmtId="165" fontId="10" fillId="0" borderId="0" xfId="0" applyNumberFormat="1" applyFont="1" applyAlignment="1">
      <alignment horizontal="right" vertical="center" wrapText="1"/>
    </xf>
    <xf numFmtId="3" fontId="0" fillId="0" borderId="0" xfId="0" applyNumberFormat="1">
      <alignment vertical="top"/>
    </xf>
    <xf numFmtId="0" fontId="9" fillId="0" borderId="0" xfId="0" applyFont="1" applyAlignment="1">
      <alignment vertical="center" wrapText="1"/>
    </xf>
    <xf numFmtId="0" fontId="7" fillId="0" borderId="1" xfId="0" applyFont="1" applyBorder="1" applyAlignment="1">
      <alignment horizontal="center" vertical="center"/>
    </xf>
    <xf numFmtId="169" fontId="0" fillId="0" borderId="0" xfId="0" applyNumberFormat="1">
      <alignment vertical="top"/>
    </xf>
    <xf numFmtId="169" fontId="0" fillId="0" borderId="0" xfId="1" applyNumberFormat="1" applyFont="1" applyFill="1" applyAlignment="1">
      <alignment vertical="top"/>
    </xf>
    <xf numFmtId="0" fontId="7" fillId="0" borderId="4" xfId="0" applyFont="1" applyBorder="1">
      <alignment vertical="top"/>
    </xf>
    <xf numFmtId="0" fontId="15" fillId="0" borderId="0" xfId="0" applyFont="1" applyAlignment="1"/>
    <xf numFmtId="0" fontId="18" fillId="0" borderId="1" xfId="0" applyFont="1" applyBorder="1" applyAlignment="1">
      <alignment vertical="center" wrapText="1"/>
    </xf>
    <xf numFmtId="10" fontId="15" fillId="0" borderId="0" xfId="0" applyNumberFormat="1" applyFont="1" applyAlignment="1"/>
    <xf numFmtId="3" fontId="15" fillId="0" borderId="0" xfId="0" applyNumberFormat="1" applyFont="1" applyAlignment="1"/>
    <xf numFmtId="0" fontId="19" fillId="0" borderId="6" xfId="0" applyFont="1" applyBorder="1" applyAlignment="1">
      <alignment horizontal="center" vertical="center" wrapText="1"/>
    </xf>
    <xf numFmtId="3" fontId="20" fillId="0" borderId="9" xfId="0" applyNumberFormat="1" applyFont="1" applyBorder="1" applyAlignment="1">
      <alignment horizontal="center" vertical="center"/>
    </xf>
    <xf numFmtId="0" fontId="19" fillId="0" borderId="8" xfId="0" applyFont="1" applyBorder="1" applyAlignment="1">
      <alignment horizontal="center" vertical="center" wrapText="1"/>
    </xf>
    <xf numFmtId="0" fontId="20" fillId="0" borderId="0" xfId="0" applyFont="1" applyAlignment="1">
      <alignment vertical="center" wrapText="1"/>
    </xf>
    <xf numFmtId="3" fontId="20" fillId="0" borderId="0" xfId="0" applyNumberFormat="1" applyFont="1" applyAlignment="1">
      <alignment horizontal="center" vertical="center"/>
    </xf>
    <xf numFmtId="0" fontId="19" fillId="0" borderId="9" xfId="0" applyFont="1" applyBorder="1" applyAlignment="1">
      <alignment horizontal="center" vertical="center" wrapText="1"/>
    </xf>
    <xf numFmtId="0" fontId="20" fillId="0" borderId="9" xfId="0" applyFont="1" applyBorder="1" applyAlignment="1">
      <alignment horizontal="center" vertical="center" wrapText="1"/>
    </xf>
    <xf numFmtId="3" fontId="20" fillId="0" borderId="11" xfId="0" applyNumberFormat="1" applyFont="1" applyBorder="1" applyAlignment="1">
      <alignment horizontal="center" vertical="center"/>
    </xf>
    <xf numFmtId="3" fontId="20" fillId="0" borderId="6" xfId="0" applyNumberFormat="1" applyFont="1" applyBorder="1" applyAlignment="1">
      <alignment horizontal="center" vertical="center"/>
    </xf>
    <xf numFmtId="3" fontId="20" fillId="0" borderId="12" xfId="0" applyNumberFormat="1" applyFont="1" applyBorder="1" applyAlignment="1">
      <alignment horizontal="center" vertical="center"/>
    </xf>
    <xf numFmtId="0" fontId="19" fillId="0" borderId="6" xfId="0" applyFont="1" applyBorder="1" applyAlignment="1">
      <alignment horizontal="center" vertical="center"/>
    </xf>
    <xf numFmtId="0" fontId="19" fillId="0" borderId="0" xfId="0" applyFont="1" applyAlignment="1">
      <alignment horizontal="center" vertical="center" wrapText="1"/>
    </xf>
    <xf numFmtId="3" fontId="20" fillId="0" borderId="9" xfId="0" applyNumberFormat="1" applyFont="1" applyBorder="1" applyAlignment="1">
      <alignment horizontal="center" vertical="center" wrapText="1"/>
    </xf>
    <xf numFmtId="3" fontId="19" fillId="0" borderId="9" xfId="0" applyNumberFormat="1" applyFont="1" applyBorder="1" applyAlignment="1">
      <alignment horizontal="center" vertical="center" wrapText="1"/>
    </xf>
    <xf numFmtId="169" fontId="15" fillId="0" borderId="0" xfId="1" applyNumberFormat="1" applyFont="1" applyFill="1"/>
    <xf numFmtId="10" fontId="15" fillId="0" borderId="0" xfId="2" applyNumberFormat="1" applyFont="1" applyFill="1"/>
    <xf numFmtId="0" fontId="20" fillId="0" borderId="8" xfId="0" applyFont="1" applyBorder="1" applyAlignment="1">
      <alignment horizontal="center" vertical="center" wrapText="1"/>
    </xf>
    <xf numFmtId="0" fontId="19" fillId="0" borderId="8" xfId="0" applyFont="1" applyBorder="1" applyAlignment="1">
      <alignment vertical="center" wrapText="1"/>
    </xf>
    <xf numFmtId="9" fontId="15" fillId="0" borderId="0" xfId="2" applyFont="1" applyFill="1"/>
    <xf numFmtId="3" fontId="19" fillId="0" borderId="9" xfId="0" applyNumberFormat="1" applyFont="1" applyBorder="1" applyAlignment="1">
      <alignment horizontal="center" vertical="center"/>
    </xf>
    <xf numFmtId="0" fontId="21" fillId="0" borderId="12" xfId="0" applyFont="1" applyBorder="1" applyAlignment="1">
      <alignment horizontal="justify" vertical="center" wrapText="1"/>
    </xf>
    <xf numFmtId="0" fontId="22" fillId="0" borderId="9" xfId="0" applyFont="1" applyBorder="1" applyAlignment="1">
      <alignment vertical="center" wrapText="1"/>
    </xf>
    <xf numFmtId="0" fontId="20" fillId="0" borderId="0" xfId="0" applyFont="1" applyAlignment="1">
      <alignment vertical="center"/>
    </xf>
    <xf numFmtId="0" fontId="19" fillId="0" borderId="0" xfId="0" applyFont="1" applyAlignment="1">
      <alignment vertical="center"/>
    </xf>
    <xf numFmtId="0" fontId="23" fillId="0" borderId="0" xfId="0" applyFont="1" applyAlignment="1">
      <alignment horizontal="justify" vertical="center"/>
    </xf>
    <xf numFmtId="0" fontId="24" fillId="0" borderId="6" xfId="0" applyFont="1" applyBorder="1" applyAlignment="1">
      <alignment horizontal="center" vertical="center" wrapText="1"/>
    </xf>
    <xf numFmtId="0" fontId="24" fillId="0" borderId="8" xfId="0" applyFont="1" applyBorder="1" applyAlignment="1">
      <alignment horizontal="center" vertical="center" wrapText="1"/>
    </xf>
    <xf numFmtId="14" fontId="17" fillId="0" borderId="12" xfId="0" applyNumberFormat="1" applyFont="1" applyBorder="1" applyAlignment="1">
      <alignment vertical="center" wrapText="1"/>
    </xf>
    <xf numFmtId="0" fontId="17" fillId="0" borderId="9" xfId="0" applyFont="1" applyBorder="1" applyAlignment="1">
      <alignment vertical="center" wrapText="1"/>
    </xf>
    <xf numFmtId="0" fontId="17" fillId="0" borderId="9" xfId="0" applyFont="1" applyBorder="1" applyAlignment="1">
      <alignment horizontal="center" vertical="center" wrapText="1"/>
    </xf>
    <xf numFmtId="0" fontId="7" fillId="4" borderId="0" xfId="0" applyFont="1" applyFill="1">
      <alignment vertical="top"/>
    </xf>
    <xf numFmtId="0" fontId="5" fillId="0" borderId="0" xfId="3" applyAlignment="1">
      <alignment wrapText="1"/>
    </xf>
    <xf numFmtId="0" fontId="5" fillId="0" borderId="0" xfId="3"/>
    <xf numFmtId="0" fontId="15" fillId="0" borderId="19" xfId="0" applyFont="1" applyBorder="1" applyAlignment="1">
      <alignment horizontal="left" vertical="center" wrapText="1"/>
    </xf>
    <xf numFmtId="0" fontId="19" fillId="3"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3" borderId="1" xfId="0" applyFont="1" applyFill="1" applyBorder="1" applyAlignment="1">
      <alignment horizontal="left" vertical="center" wrapText="1"/>
    </xf>
    <xf numFmtId="0" fontId="31" fillId="0" borderId="1" xfId="0" applyFont="1" applyBorder="1" applyAlignment="1">
      <alignment horizontal="center" vertical="center" wrapText="1"/>
    </xf>
    <xf numFmtId="0" fontId="15" fillId="9" borderId="1"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33" fillId="0" borderId="0" xfId="0" applyFont="1" applyAlignment="1">
      <alignment horizontal="center"/>
    </xf>
    <xf numFmtId="0" fontId="34" fillId="0" borderId="0" xfId="0" applyFont="1" applyAlignment="1"/>
    <xf numFmtId="1" fontId="15" fillId="0" borderId="0" xfId="0" applyNumberFormat="1" applyFont="1" applyAlignment="1"/>
    <xf numFmtId="1" fontId="15" fillId="0" borderId="1" xfId="0" applyNumberFormat="1" applyFont="1" applyBorder="1" applyAlignment="1">
      <alignment horizontal="center"/>
    </xf>
    <xf numFmtId="0" fontId="20" fillId="0" borderId="0" xfId="0" applyFont="1" applyAlignment="1">
      <alignment horizontal="left" vertical="center" wrapText="1"/>
    </xf>
    <xf numFmtId="3" fontId="20"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1" fontId="15" fillId="0" borderId="0" xfId="0" applyNumberFormat="1" applyFont="1" applyAlignment="1">
      <alignment horizontal="center"/>
    </xf>
    <xf numFmtId="0" fontId="20" fillId="0" borderId="21" xfId="0" applyFont="1" applyBorder="1" applyAlignment="1">
      <alignment vertical="center" wrapText="1"/>
    </xf>
    <xf numFmtId="0" fontId="20" fillId="0" borderId="4" xfId="0" applyFont="1" applyBorder="1" applyAlignment="1">
      <alignment vertical="center" wrapText="1"/>
    </xf>
    <xf numFmtId="3" fontId="20" fillId="3" borderId="1" xfId="0" applyNumberFormat="1" applyFont="1" applyFill="1" applyBorder="1" applyAlignment="1">
      <alignment horizontal="center" vertical="center"/>
    </xf>
    <xf numFmtId="0" fontId="15" fillId="5" borderId="1" xfId="0" applyFont="1" applyFill="1" applyBorder="1" applyAlignment="1">
      <alignment horizontal="center"/>
    </xf>
    <xf numFmtId="1" fontId="15" fillId="5" borderId="1" xfId="0" applyNumberFormat="1" applyFont="1" applyFill="1" applyBorder="1" applyAlignment="1">
      <alignment horizontal="center"/>
    </xf>
    <xf numFmtId="170" fontId="35" fillId="10" borderId="1" xfId="0" applyNumberFormat="1" applyFont="1" applyFill="1" applyBorder="1" applyAlignment="1">
      <alignment horizontal="center" vertical="center" wrapText="1"/>
    </xf>
    <xf numFmtId="0" fontId="11" fillId="3" borderId="0" xfId="0" applyFont="1" applyFill="1" applyAlignment="1">
      <alignment horizontal="center" vertical="top" wrapText="1"/>
    </xf>
    <xf numFmtId="0" fontId="11" fillId="10" borderId="0" xfId="0" applyFont="1" applyFill="1" applyAlignment="1">
      <alignment horizontal="center" vertical="top"/>
    </xf>
    <xf numFmtId="0" fontId="11" fillId="11" borderId="0" xfId="0" applyFont="1" applyFill="1" applyAlignment="1">
      <alignment horizontal="center" vertical="top"/>
    </xf>
    <xf numFmtId="0" fontId="11" fillId="12" borderId="0" xfId="0" applyFont="1" applyFill="1" applyAlignment="1">
      <alignment horizontal="center" vertical="top"/>
    </xf>
    <xf numFmtId="0" fontId="0" fillId="13" borderId="0" xfId="0" applyFill="1">
      <alignment vertical="top"/>
    </xf>
    <xf numFmtId="169" fontId="0" fillId="13" borderId="0" xfId="0" applyNumberFormat="1" applyFill="1">
      <alignment vertical="top"/>
    </xf>
    <xf numFmtId="169" fontId="0" fillId="12" borderId="0" xfId="0" applyNumberFormat="1" applyFill="1">
      <alignment vertical="top"/>
    </xf>
    <xf numFmtId="0" fontId="6" fillId="13" borderId="0" xfId="0" applyFont="1" applyFill="1">
      <alignment vertical="top"/>
    </xf>
    <xf numFmtId="0" fontId="0" fillId="3" borderId="0" xfId="0" applyFill="1">
      <alignment vertical="top"/>
    </xf>
    <xf numFmtId="169" fontId="0" fillId="7" borderId="0" xfId="0" applyNumberFormat="1" applyFill="1">
      <alignment vertical="top"/>
    </xf>
    <xf numFmtId="0" fontId="37" fillId="0" borderId="0" xfId="3" applyFont="1" applyAlignment="1">
      <alignment horizontal="justify" vertical="center" wrapText="1"/>
    </xf>
    <xf numFmtId="0" fontId="38" fillId="0" borderId="0" xfId="3" applyFont="1" applyAlignment="1">
      <alignment horizontal="justify" vertical="center" wrapText="1"/>
    </xf>
    <xf numFmtId="0" fontId="39" fillId="0" borderId="0" xfId="3" applyFont="1" applyAlignment="1">
      <alignment horizontal="justify" vertical="center" wrapText="1"/>
    </xf>
    <xf numFmtId="0" fontId="5" fillId="0" borderId="0" xfId="3" applyAlignment="1">
      <alignment horizontal="center" wrapText="1"/>
    </xf>
    <xf numFmtId="0" fontId="27" fillId="0" borderId="0" xfId="3" applyFont="1" applyAlignment="1">
      <alignment horizontal="center" wrapText="1"/>
    </xf>
    <xf numFmtId="0" fontId="27" fillId="3" borderId="0" xfId="3" applyFont="1" applyFill="1" applyAlignment="1">
      <alignment vertical="center" wrapText="1"/>
    </xf>
    <xf numFmtId="0" fontId="38" fillId="0" borderId="0" xfId="3" quotePrefix="1" applyFont="1" applyAlignment="1">
      <alignment horizontal="justify" vertical="center" wrapText="1"/>
    </xf>
    <xf numFmtId="0" fontId="5" fillId="3" borderId="1" xfId="3" applyFill="1" applyBorder="1" applyAlignment="1">
      <alignment wrapText="1"/>
    </xf>
    <xf numFmtId="0" fontId="38" fillId="0" borderId="1" xfId="3" quotePrefix="1" applyFont="1" applyBorder="1" applyAlignment="1">
      <alignment horizontal="justify" vertical="center" wrapText="1"/>
    </xf>
    <xf numFmtId="0" fontId="5" fillId="0" borderId="19" xfId="3" applyBorder="1" applyAlignment="1">
      <alignment wrapText="1"/>
    </xf>
    <xf numFmtId="170" fontId="41" fillId="8" borderId="0" xfId="3" applyNumberFormat="1" applyFont="1" applyFill="1" applyAlignment="1">
      <alignment horizontal="center" vertical="center" wrapText="1"/>
    </xf>
    <xf numFmtId="0" fontId="42" fillId="0" borderId="0" xfId="3" applyFont="1" applyAlignment="1">
      <alignment horizontal="right" vertical="center" wrapText="1"/>
    </xf>
    <xf numFmtId="170" fontId="5" fillId="0" borderId="0" xfId="3" applyNumberFormat="1" applyAlignment="1">
      <alignment horizontal="center" wrapText="1"/>
    </xf>
    <xf numFmtId="170" fontId="45" fillId="0" borderId="0" xfId="3" applyNumberFormat="1" applyFont="1" applyAlignment="1">
      <alignment horizontal="center" wrapText="1"/>
    </xf>
    <xf numFmtId="170" fontId="30" fillId="0" borderId="0" xfId="3" applyNumberFormat="1" applyFont="1" applyAlignment="1">
      <alignment horizontal="center" wrapText="1"/>
    </xf>
    <xf numFmtId="0" fontId="0" fillId="0" borderId="0" xfId="0" applyAlignment="1">
      <alignment vertical="center" wrapText="1"/>
    </xf>
    <xf numFmtId="0" fontId="7" fillId="0" borderId="1" xfId="0" applyFont="1" applyBorder="1" applyAlignment="1">
      <alignment vertical="center" wrapText="1"/>
    </xf>
    <xf numFmtId="170" fontId="36" fillId="3" borderId="1" xfId="0" applyNumberFormat="1" applyFont="1" applyFill="1" applyBorder="1" applyAlignment="1">
      <alignment vertical="center" wrapText="1"/>
    </xf>
    <xf numFmtId="0" fontId="6" fillId="0" borderId="0" xfId="0" applyFont="1" applyAlignment="1">
      <alignment horizontal="center" vertical="top"/>
    </xf>
    <xf numFmtId="169" fontId="0" fillId="0" borderId="1" xfId="0" applyNumberFormat="1" applyBorder="1" applyAlignment="1">
      <alignment vertical="center" wrapText="1"/>
    </xf>
    <xf numFmtId="0" fontId="48"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47" fillId="0" borderId="1" xfId="0" applyFont="1" applyBorder="1" applyAlignment="1">
      <alignment vertical="center" wrapText="1"/>
    </xf>
    <xf numFmtId="0" fontId="48" fillId="13" borderId="1" xfId="0" applyFont="1" applyFill="1" applyBorder="1" applyAlignment="1">
      <alignment horizontal="center" vertical="center" wrapText="1"/>
    </xf>
    <xf numFmtId="0" fontId="47" fillId="13" borderId="1" xfId="0" applyFont="1" applyFill="1" applyBorder="1" applyAlignment="1">
      <alignment vertical="center" wrapText="1"/>
    </xf>
    <xf numFmtId="0" fontId="49" fillId="0" borderId="17" xfId="0" applyFont="1" applyBorder="1" applyAlignment="1">
      <alignment horizontal="center" vertical="center" wrapText="1"/>
    </xf>
    <xf numFmtId="0" fontId="29" fillId="0" borderId="33" xfId="3" applyFont="1" applyBorder="1" applyAlignment="1">
      <alignment horizontal="center" vertical="center" wrapText="1"/>
    </xf>
    <xf numFmtId="0" fontId="28" fillId="0" borderId="33" xfId="3" applyFont="1" applyBorder="1" applyAlignment="1">
      <alignment horizontal="center" vertical="center" wrapText="1"/>
    </xf>
    <xf numFmtId="0" fontId="5" fillId="0" borderId="37" xfId="3" applyBorder="1" applyAlignment="1">
      <alignment wrapText="1"/>
    </xf>
    <xf numFmtId="0" fontId="28" fillId="0" borderId="32" xfId="3" applyFont="1" applyBorder="1" applyAlignment="1">
      <alignment horizontal="left" vertical="center" wrapText="1"/>
    </xf>
    <xf numFmtId="0" fontId="28" fillId="0" borderId="0" xfId="3" applyFont="1" applyAlignment="1">
      <alignment horizontal="left" vertical="center" wrapText="1"/>
    </xf>
    <xf numFmtId="0" fontId="28" fillId="0" borderId="31" xfId="3" applyFont="1" applyBorder="1" applyAlignment="1">
      <alignment horizontal="left" vertical="center" wrapText="1"/>
    </xf>
    <xf numFmtId="0" fontId="28" fillId="0" borderId="18" xfId="3" applyFont="1" applyBorder="1" applyAlignment="1">
      <alignment horizontal="center" vertical="center" wrapText="1"/>
    </xf>
    <xf numFmtId="0" fontId="29" fillId="14" borderId="25" xfId="3" applyFont="1" applyFill="1" applyBorder="1" applyAlignment="1">
      <alignment vertical="center" wrapText="1"/>
    </xf>
    <xf numFmtId="0" fontId="36" fillId="0" borderId="0" xfId="0" applyFont="1" applyAlignment="1">
      <alignment vertical="center" wrapText="1"/>
    </xf>
    <xf numFmtId="0" fontId="4" fillId="0" borderId="35" xfId="3" applyFont="1" applyBorder="1" applyAlignment="1">
      <alignment wrapText="1"/>
    </xf>
    <xf numFmtId="0" fontId="4" fillId="0" borderId="37" xfId="3" applyFont="1" applyBorder="1" applyAlignment="1">
      <alignment wrapText="1"/>
    </xf>
    <xf numFmtId="168" fontId="0" fillId="0" borderId="0" xfId="1" applyFont="1" applyAlignment="1">
      <alignment vertical="top"/>
    </xf>
    <xf numFmtId="169" fontId="0" fillId="0" borderId="1" xfId="1" applyNumberFormat="1" applyFont="1" applyBorder="1" applyAlignment="1">
      <alignment vertical="top"/>
    </xf>
    <xf numFmtId="9" fontId="0" fillId="0" borderId="0" xfId="2" applyFont="1" applyAlignment="1">
      <alignment vertical="top"/>
    </xf>
    <xf numFmtId="10" fontId="0" fillId="0" borderId="0" xfId="2" applyNumberFormat="1" applyFont="1" applyAlignment="1">
      <alignment vertical="top"/>
    </xf>
    <xf numFmtId="0" fontId="7" fillId="0" borderId="1" xfId="0" applyFont="1" applyBorder="1" applyAlignment="1">
      <alignment vertical="center"/>
    </xf>
    <xf numFmtId="9" fontId="0" fillId="0" borderId="0" xfId="0" applyNumberFormat="1">
      <alignment vertical="top"/>
    </xf>
    <xf numFmtId="0" fontId="52" fillId="0" borderId="1" xfId="0" applyFont="1" applyBorder="1" applyAlignment="1">
      <alignment horizontal="left" vertical="center"/>
    </xf>
    <xf numFmtId="0" fontId="52" fillId="0" borderId="1" xfId="0" applyFont="1" applyBorder="1" applyAlignment="1">
      <alignment horizontal="center" vertical="center"/>
    </xf>
    <xf numFmtId="3" fontId="52" fillId="0" borderId="1" xfId="0" applyNumberFormat="1" applyFont="1" applyBorder="1" applyAlignment="1">
      <alignment horizontal="right" vertical="center"/>
    </xf>
    <xf numFmtId="0" fontId="53" fillId="0" borderId="0" xfId="0" applyFont="1">
      <alignment vertical="top"/>
    </xf>
    <xf numFmtId="169" fontId="47" fillId="0" borderId="1" xfId="1" applyNumberFormat="1" applyFont="1" applyBorder="1" applyAlignment="1">
      <alignment vertical="center" wrapText="1"/>
    </xf>
    <xf numFmtId="0" fontId="56" fillId="0" borderId="0" xfId="0" applyFont="1" applyAlignment="1">
      <alignment horizontal="left" vertical="top"/>
    </xf>
    <xf numFmtId="168" fontId="0" fillId="0" borderId="0" xfId="0" applyNumberFormat="1">
      <alignment vertical="top"/>
    </xf>
    <xf numFmtId="169" fontId="47" fillId="18" borderId="1" xfId="1" applyNumberFormat="1" applyFont="1" applyFill="1" applyBorder="1" applyAlignment="1">
      <alignment vertical="center" wrapText="1"/>
    </xf>
    <xf numFmtId="37" fontId="0" fillId="0" borderId="0" xfId="1" applyNumberFormat="1" applyFont="1" applyAlignment="1">
      <alignment vertical="top"/>
    </xf>
    <xf numFmtId="169" fontId="0" fillId="18" borderId="1" xfId="1" applyNumberFormat="1" applyFont="1" applyFill="1" applyBorder="1" applyAlignment="1">
      <alignment horizontal="center" vertical="center"/>
    </xf>
    <xf numFmtId="0" fontId="47" fillId="17" borderId="1" xfId="0" applyFont="1" applyFill="1" applyBorder="1" applyAlignment="1">
      <alignment vertical="top" wrapText="1"/>
    </xf>
    <xf numFmtId="9" fontId="47" fillId="17" borderId="1" xfId="2" applyFont="1" applyFill="1" applyBorder="1" applyAlignment="1">
      <alignment vertical="center" wrapText="1"/>
    </xf>
    <xf numFmtId="0" fontId="9" fillId="0" borderId="1" xfId="0" applyFont="1" applyBorder="1" applyAlignment="1">
      <alignment horizontal="center" vertical="center" wrapText="1"/>
    </xf>
    <xf numFmtId="169" fontId="10" fillId="0" borderId="1" xfId="1" applyNumberFormat="1" applyFont="1" applyBorder="1" applyAlignment="1">
      <alignment horizontal="center" vertical="center" wrapText="1"/>
    </xf>
    <xf numFmtId="169" fontId="10" fillId="0" borderId="1" xfId="1" applyNumberFormat="1" applyFont="1" applyFill="1" applyBorder="1" applyAlignment="1">
      <alignment horizontal="center" vertical="center" wrapText="1"/>
    </xf>
    <xf numFmtId="0" fontId="9" fillId="19" borderId="1" xfId="0" applyFont="1" applyFill="1" applyBorder="1" applyAlignment="1">
      <alignment horizontal="center" vertical="center" wrapText="1"/>
    </xf>
    <xf numFmtId="169" fontId="10" fillId="19" borderId="1" xfId="1" applyNumberFormat="1" applyFont="1" applyFill="1" applyBorder="1" applyAlignment="1">
      <alignment horizontal="center" vertical="center" wrapText="1"/>
    </xf>
    <xf numFmtId="169" fontId="10" fillId="0" borderId="1" xfId="1" applyNumberFormat="1" applyFont="1" applyFill="1" applyBorder="1" applyAlignment="1">
      <alignment horizontal="left" vertical="center" wrapText="1"/>
    </xf>
    <xf numFmtId="0" fontId="0" fillId="0" borderId="1" xfId="0" applyBorder="1" applyAlignment="1">
      <alignment horizontal="left" vertical="top"/>
    </xf>
    <xf numFmtId="0" fontId="29" fillId="17" borderId="44" xfId="3" applyFont="1" applyFill="1" applyBorder="1" applyAlignment="1">
      <alignment vertical="center" wrapText="1"/>
    </xf>
    <xf numFmtId="0" fontId="29" fillId="17" borderId="41" xfId="3" applyFont="1" applyFill="1" applyBorder="1" applyAlignment="1">
      <alignment vertical="center" wrapText="1"/>
    </xf>
    <xf numFmtId="171" fontId="29" fillId="8" borderId="29" xfId="4" applyNumberFormat="1" applyFont="1" applyFill="1" applyBorder="1" applyAlignment="1">
      <alignment horizontal="center" vertical="center" wrapText="1"/>
    </xf>
    <xf numFmtId="0" fontId="0" fillId="0" borderId="0" xfId="0" applyAlignment="1">
      <alignment horizontal="right" vertical="top"/>
    </xf>
    <xf numFmtId="171" fontId="28" fillId="0" borderId="30" xfId="4" applyNumberFormat="1" applyFont="1" applyBorder="1" applyAlignment="1">
      <alignment horizontal="center" vertical="center" wrapText="1"/>
    </xf>
    <xf numFmtId="0" fontId="29" fillId="0" borderId="27" xfId="3" applyFont="1" applyBorder="1" applyAlignment="1">
      <alignment vertical="center" wrapText="1"/>
    </xf>
    <xf numFmtId="169" fontId="29" fillId="20" borderId="19" xfId="1" applyNumberFormat="1" applyFont="1" applyFill="1" applyBorder="1" applyAlignment="1">
      <alignment wrapText="1"/>
    </xf>
    <xf numFmtId="169" fontId="29" fillId="20" borderId="1" xfId="1" applyNumberFormat="1" applyFont="1" applyFill="1" applyBorder="1" applyAlignment="1">
      <alignment wrapText="1"/>
    </xf>
    <xf numFmtId="169" fontId="51" fillId="20" borderId="1" xfId="1" applyNumberFormat="1" applyFont="1" applyFill="1" applyBorder="1" applyAlignment="1">
      <alignment wrapText="1"/>
    </xf>
    <xf numFmtId="171" fontId="29" fillId="20" borderId="1" xfId="4" applyNumberFormat="1" applyFont="1" applyFill="1" applyBorder="1" applyAlignment="1">
      <alignment wrapText="1"/>
    </xf>
    <xf numFmtId="168" fontId="5" fillId="0" borderId="0" xfId="1" applyFont="1"/>
    <xf numFmtId="169" fontId="5" fillId="0" borderId="0" xfId="1" applyNumberFormat="1" applyFont="1"/>
    <xf numFmtId="168" fontId="5" fillId="0" borderId="0" xfId="3" applyNumberFormat="1"/>
    <xf numFmtId="165" fontId="0" fillId="0" borderId="0" xfId="0" applyNumberFormat="1">
      <alignment vertical="top"/>
    </xf>
    <xf numFmtId="171" fontId="5" fillId="0" borderId="30" xfId="3" applyNumberFormat="1" applyBorder="1" applyAlignment="1">
      <alignment wrapText="1"/>
    </xf>
    <xf numFmtId="37" fontId="6" fillId="0" borderId="0" xfId="1" applyNumberFormat="1" applyFont="1" applyAlignment="1">
      <alignment vertical="top"/>
    </xf>
    <xf numFmtId="0" fontId="7" fillId="0" borderId="0" xfId="0" applyFont="1" applyAlignment="1">
      <alignment horizontal="center" vertical="center"/>
    </xf>
    <xf numFmtId="0" fontId="7" fillId="0" borderId="0" xfId="0" applyFont="1" applyAlignment="1">
      <alignment horizontal="center" vertical="center" wrapText="1"/>
    </xf>
    <xf numFmtId="0" fontId="3" fillId="0" borderId="0" xfId="3" applyFont="1"/>
    <xf numFmtId="0" fontId="57" fillId="0" borderId="0" xfId="3" applyFont="1"/>
    <xf numFmtId="171" fontId="57" fillId="0" borderId="0" xfId="3" applyNumberFormat="1" applyFont="1"/>
    <xf numFmtId="0" fontId="58" fillId="2" borderId="45" xfId="0" applyFont="1" applyFill="1" applyBorder="1" applyAlignment="1">
      <alignment horizontal="center" vertical="center" wrapText="1"/>
    </xf>
    <xf numFmtId="0" fontId="59" fillId="2" borderId="45" xfId="0" applyFont="1" applyFill="1" applyBorder="1" applyAlignment="1">
      <alignment horizontal="center" vertical="center" wrapText="1"/>
    </xf>
    <xf numFmtId="0" fontId="60" fillId="0" borderId="0" xfId="0" applyFont="1" applyAlignment="1">
      <alignment horizontal="center" vertical="center"/>
    </xf>
    <xf numFmtId="37" fontId="59" fillId="2" borderId="45" xfId="1" applyNumberFormat="1" applyFont="1" applyFill="1" applyBorder="1" applyAlignment="1">
      <alignment horizontal="right" vertical="center" wrapText="1"/>
    </xf>
    <xf numFmtId="169" fontId="59" fillId="2" borderId="45" xfId="1" applyNumberFormat="1" applyFont="1" applyFill="1" applyBorder="1" applyAlignment="1">
      <alignment horizontal="right" vertical="center" wrapText="1"/>
    </xf>
    <xf numFmtId="169" fontId="29" fillId="3" borderId="28" xfId="1" applyNumberFormat="1" applyFont="1" applyFill="1" applyBorder="1" applyAlignment="1">
      <alignment vertical="center" wrapText="1"/>
    </xf>
    <xf numFmtId="10" fontId="5" fillId="0" borderId="0" xfId="3" applyNumberFormat="1"/>
    <xf numFmtId="10" fontId="0" fillId="18" borderId="0" xfId="2" applyNumberFormat="1" applyFont="1" applyFill="1" applyAlignment="1">
      <alignment vertical="top"/>
    </xf>
    <xf numFmtId="0" fontId="4" fillId="0" borderId="0" xfId="3" applyFont="1" applyAlignment="1">
      <alignment wrapText="1"/>
    </xf>
    <xf numFmtId="0" fontId="61" fillId="0" borderId="0" xfId="0" applyFont="1">
      <alignment vertical="top"/>
    </xf>
    <xf numFmtId="0" fontId="4" fillId="0" borderId="0" xfId="3" applyFont="1"/>
    <xf numFmtId="0" fontId="63" fillId="0" borderId="0" xfId="0" applyFont="1" applyAlignment="1">
      <alignment horizontal="left" vertical="center"/>
    </xf>
    <xf numFmtId="171" fontId="7" fillId="4" borderId="0" xfId="4" applyNumberFormat="1" applyFont="1" applyFill="1" applyAlignment="1">
      <alignment vertical="top"/>
    </xf>
    <xf numFmtId="0" fontId="0" fillId="18" borderId="0" xfId="0" applyFill="1" applyAlignment="1">
      <alignment horizontal="center" vertical="center"/>
    </xf>
    <xf numFmtId="169" fontId="0" fillId="18" borderId="0" xfId="0" applyNumberFormat="1" applyFill="1">
      <alignment vertical="top"/>
    </xf>
    <xf numFmtId="0" fontId="27" fillId="0" borderId="0" xfId="3" applyFont="1"/>
    <xf numFmtId="0" fontId="27" fillId="0" borderId="0" xfId="3" applyFont="1" applyAlignment="1">
      <alignment horizontal="center"/>
    </xf>
    <xf numFmtId="169" fontId="7" fillId="3" borderId="0" xfId="1" applyNumberFormat="1" applyFont="1" applyFill="1" applyAlignment="1">
      <alignment vertical="top"/>
    </xf>
    <xf numFmtId="0" fontId="64" fillId="0" borderId="0" xfId="0" applyFont="1" applyAlignment="1">
      <alignment vertical="center"/>
    </xf>
    <xf numFmtId="171" fontId="28" fillId="3" borderId="46" xfId="4" applyNumberFormat="1" applyFont="1" applyFill="1" applyBorder="1" applyAlignment="1">
      <alignment horizontal="center" vertical="center" wrapText="1"/>
    </xf>
    <xf numFmtId="0" fontId="48" fillId="17" borderId="1" xfId="0" applyFont="1" applyFill="1" applyBorder="1" applyAlignment="1">
      <alignment vertical="center" wrapText="1"/>
    </xf>
    <xf numFmtId="9" fontId="48" fillId="17" borderId="1" xfId="2" applyFont="1" applyFill="1" applyBorder="1" applyAlignment="1">
      <alignment horizontal="center" vertical="center" wrapText="1"/>
    </xf>
    <xf numFmtId="0" fontId="48" fillId="18" borderId="1" xfId="0" applyFont="1" applyFill="1" applyBorder="1" applyAlignment="1">
      <alignment horizontal="center" vertical="center" wrapText="1"/>
    </xf>
    <xf numFmtId="0" fontId="7" fillId="18" borderId="1" xfId="0" applyFont="1" applyFill="1" applyBorder="1" applyAlignment="1">
      <alignment horizontal="center" vertical="center" wrapText="1"/>
    </xf>
    <xf numFmtId="0" fontId="2" fillId="0" borderId="0" xfId="3" applyFont="1"/>
    <xf numFmtId="0" fontId="12" fillId="15" borderId="1" xfId="0" applyFont="1" applyFill="1" applyBorder="1" applyAlignment="1">
      <alignment horizontal="center" vertical="center" wrapText="1"/>
    </xf>
    <xf numFmtId="0" fontId="12" fillId="15" borderId="1" xfId="0" applyFont="1" applyFill="1" applyBorder="1" applyAlignment="1">
      <alignment horizontal="center" vertical="center"/>
    </xf>
    <xf numFmtId="0" fontId="6" fillId="15" borderId="0" xfId="0" applyFont="1" applyFill="1" applyAlignment="1">
      <alignment horizontal="center" vertical="center" wrapText="1"/>
    </xf>
    <xf numFmtId="169" fontId="0" fillId="0" borderId="0" xfId="0" applyNumberFormat="1" applyAlignment="1">
      <alignment vertical="center" wrapText="1"/>
    </xf>
    <xf numFmtId="0" fontId="11" fillId="0" borderId="1" xfId="0" applyFont="1" applyBorder="1" applyAlignment="1">
      <alignment horizontal="center" vertical="top" wrapText="1"/>
    </xf>
    <xf numFmtId="0" fontId="7" fillId="16" borderId="1" xfId="0" applyFont="1" applyFill="1" applyBorder="1" applyAlignment="1">
      <alignment horizontal="center" vertical="center" wrapText="1"/>
    </xf>
    <xf numFmtId="0" fontId="0" fillId="24" borderId="1" xfId="0" applyFill="1" applyBorder="1" applyAlignment="1">
      <alignment horizontal="center" vertical="center" wrapText="1"/>
    </xf>
    <xf numFmtId="0" fontId="15" fillId="24" borderId="1" xfId="0" applyFont="1" applyFill="1" applyBorder="1" applyAlignment="1">
      <alignment horizontal="center" vertical="center" wrapText="1"/>
    </xf>
    <xf numFmtId="168" fontId="27" fillId="6" borderId="17" xfId="1" applyFont="1" applyFill="1" applyBorder="1" applyAlignment="1">
      <alignment horizontal="center" vertical="center" wrapText="1"/>
    </xf>
    <xf numFmtId="0" fontId="1" fillId="0" borderId="0" xfId="3" applyFont="1" applyAlignment="1">
      <alignment wrapText="1"/>
    </xf>
    <xf numFmtId="168" fontId="5" fillId="3" borderId="1" xfId="1" applyFont="1" applyFill="1" applyBorder="1" applyAlignment="1">
      <alignment wrapText="1"/>
    </xf>
    <xf numFmtId="0" fontId="74" fillId="0" borderId="0" xfId="0" applyFont="1">
      <alignment vertical="top"/>
    </xf>
    <xf numFmtId="3" fontId="19" fillId="3" borderId="9" xfId="0" applyNumberFormat="1" applyFont="1" applyFill="1" applyBorder="1" applyAlignment="1">
      <alignment horizontal="center" vertical="center" wrapText="1"/>
    </xf>
    <xf numFmtId="41" fontId="15" fillId="3" borderId="19" xfId="6" applyFont="1" applyFill="1" applyBorder="1" applyAlignment="1">
      <alignment horizontal="right" vertical="center" wrapText="1"/>
    </xf>
    <xf numFmtId="41" fontId="15" fillId="3" borderId="1" xfId="6" applyFont="1" applyFill="1" applyBorder="1" applyAlignment="1">
      <alignment horizontal="right" vertical="center" wrapText="1"/>
    </xf>
    <xf numFmtId="41" fontId="0" fillId="0" borderId="0" xfId="6" applyFont="1" applyAlignment="1">
      <alignment vertical="top"/>
    </xf>
    <xf numFmtId="41" fontId="5" fillId="3" borderId="1" xfId="6" applyFont="1" applyFill="1" applyBorder="1" applyAlignment="1">
      <alignment wrapText="1"/>
    </xf>
    <xf numFmtId="0" fontId="75" fillId="0" borderId="0" xfId="0" applyFont="1" applyAlignment="1">
      <alignment horizontal="justify" vertical="center"/>
    </xf>
    <xf numFmtId="0" fontId="6" fillId="0" borderId="21" xfId="0" applyFont="1" applyBorder="1" applyAlignment="1">
      <alignment horizontal="center" vertical="center" wrapText="1"/>
    </xf>
    <xf numFmtId="0" fontId="20" fillId="0" borderId="1" xfId="0" applyFont="1" applyBorder="1" applyAlignment="1">
      <alignment horizontal="justify" vertical="top" wrapText="1"/>
    </xf>
    <xf numFmtId="0" fontId="19" fillId="0" borderId="1" xfId="0" applyFont="1" applyBorder="1" applyAlignment="1">
      <alignment horizontal="justify" vertical="top" wrapText="1"/>
    </xf>
    <xf numFmtId="0" fontId="20" fillId="0" borderId="0" xfId="0" applyFont="1" applyAlignment="1">
      <alignment horizontal="justify" vertical="center"/>
    </xf>
    <xf numFmtId="37" fontId="76" fillId="25" borderId="17" xfId="7" applyNumberFormat="1" applyFont="1" applyFill="1" applyBorder="1" applyAlignment="1">
      <alignment horizontal="center"/>
    </xf>
    <xf numFmtId="37" fontId="76" fillId="25" borderId="18" xfId="7" applyNumberFormat="1" applyFont="1" applyFill="1" applyBorder="1" applyAlignment="1">
      <alignment horizontal="center"/>
    </xf>
    <xf numFmtId="3" fontId="76" fillId="25" borderId="18" xfId="7" applyNumberFormat="1" applyFont="1" applyFill="1" applyBorder="1" applyAlignment="1">
      <alignment horizontal="center" vertical="center" wrapText="1"/>
    </xf>
    <xf numFmtId="172" fontId="77" fillId="26" borderId="1" xfId="7" applyNumberFormat="1" applyFont="1" applyFill="1" applyBorder="1"/>
    <xf numFmtId="37" fontId="77" fillId="0" borderId="1" xfId="7" applyNumberFormat="1" applyFont="1" applyBorder="1" applyAlignment="1">
      <alignment horizontal="left"/>
    </xf>
    <xf numFmtId="1" fontId="77" fillId="26" borderId="1" xfId="7" applyNumberFormat="1" applyFont="1" applyFill="1" applyBorder="1" applyAlignment="1">
      <alignment horizontal="center"/>
    </xf>
    <xf numFmtId="3" fontId="77" fillId="0" borderId="1" xfId="7" applyNumberFormat="1" applyFont="1" applyBorder="1"/>
    <xf numFmtId="3" fontId="78" fillId="0" borderId="1" xfId="7" applyNumberFormat="1" applyFont="1" applyBorder="1"/>
    <xf numFmtId="0" fontId="77" fillId="0" borderId="1" xfId="0" applyFont="1" applyBorder="1" applyAlignment="1"/>
    <xf numFmtId="0" fontId="76" fillId="26" borderId="0" xfId="0" applyFont="1" applyFill="1" applyAlignment="1"/>
    <xf numFmtId="0" fontId="77" fillId="26" borderId="0" xfId="0" applyFont="1" applyFill="1" applyAlignment="1"/>
    <xf numFmtId="172" fontId="77" fillId="26" borderId="0" xfId="7" applyNumberFormat="1" applyFont="1" applyFill="1"/>
    <xf numFmtId="1" fontId="77" fillId="26" borderId="0" xfId="7" applyNumberFormat="1" applyFont="1" applyFill="1" applyAlignment="1">
      <alignment horizontal="center"/>
    </xf>
    <xf numFmtId="3" fontId="77" fillId="0" borderId="0" xfId="7" applyNumberFormat="1" applyFont="1"/>
    <xf numFmtId="3" fontId="77" fillId="3" borderId="1" xfId="7" applyNumberFormat="1" applyFont="1" applyFill="1" applyBorder="1"/>
    <xf numFmtId="0" fontId="75" fillId="0" borderId="0" xfId="0" applyFont="1" applyAlignment="1">
      <alignment horizontal="justify" vertical="top" wrapText="1"/>
    </xf>
    <xf numFmtId="0" fontId="48" fillId="0" borderId="0" xfId="0" applyFont="1" applyAlignment="1">
      <alignment vertical="top" wrapText="1"/>
    </xf>
    <xf numFmtId="0" fontId="6" fillId="0" borderId="0" xfId="0" applyFont="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75" fillId="0" borderId="0" xfId="0" applyFont="1" applyAlignment="1">
      <alignment horizontal="justify" vertical="center" wrapText="1"/>
    </xf>
    <xf numFmtId="0" fontId="75" fillId="0" borderId="0" xfId="0" applyFont="1" applyAlignment="1">
      <alignment horizontal="center" vertical="center" wrapText="1"/>
    </xf>
    <xf numFmtId="0" fontId="16" fillId="0" borderId="0" xfId="0" applyFont="1" applyAlignment="1"/>
    <xf numFmtId="3" fontId="52" fillId="0" borderId="0" xfId="0" applyNumberFormat="1" applyFont="1" applyAlignment="1">
      <alignment horizontal="center"/>
    </xf>
    <xf numFmtId="3" fontId="52" fillId="0" borderId="0" xfId="0" applyNumberFormat="1" applyFont="1" applyAlignment="1"/>
    <xf numFmtId="49" fontId="16" fillId="0" borderId="0" xfId="0" applyNumberFormat="1" applyFont="1" applyAlignment="1">
      <alignment horizontal="left"/>
    </xf>
    <xf numFmtId="0" fontId="53" fillId="25" borderId="53" xfId="0" applyFont="1" applyFill="1" applyBorder="1" applyAlignment="1">
      <alignment horizontal="center" vertical="center" wrapText="1"/>
    </xf>
    <xf numFmtId="0" fontId="6" fillId="25" borderId="53" xfId="0" applyFont="1" applyFill="1" applyBorder="1" applyAlignment="1">
      <alignment horizontal="center" vertical="center" wrapText="1"/>
    </xf>
    <xf numFmtId="0" fontId="6" fillId="25" borderId="53" xfId="0" applyFont="1" applyFill="1" applyBorder="1" applyAlignment="1">
      <alignment horizontal="center" vertical="center" textRotation="90" wrapText="1"/>
    </xf>
    <xf numFmtId="0" fontId="6" fillId="24" borderId="53" xfId="0" applyFont="1" applyFill="1" applyBorder="1" applyAlignment="1">
      <alignment horizontal="center" vertical="center" wrapText="1"/>
    </xf>
    <xf numFmtId="0" fontId="0" fillId="24" borderId="53" xfId="0" applyFill="1" applyBorder="1" applyAlignment="1">
      <alignment horizontal="center" vertical="center" wrapText="1"/>
    </xf>
    <xf numFmtId="37" fontId="0" fillId="24" borderId="53" xfId="1" applyNumberFormat="1" applyFont="1" applyFill="1" applyBorder="1" applyAlignment="1" applyProtection="1"/>
    <xf numFmtId="168" fontId="0" fillId="24" borderId="53" xfId="1" applyFont="1" applyFill="1" applyBorder="1" applyAlignment="1" applyProtection="1"/>
    <xf numFmtId="166" fontId="0" fillId="0" borderId="53" xfId="0" applyNumberFormat="1" applyBorder="1" applyAlignment="1">
      <alignment horizontal="right"/>
    </xf>
    <xf numFmtId="10" fontId="0" fillId="0" borderId="53" xfId="2" applyNumberFormat="1" applyFont="1" applyFill="1" applyBorder="1" applyAlignment="1" applyProtection="1">
      <alignment horizontal="right"/>
    </xf>
    <xf numFmtId="166" fontId="7" fillId="0" borderId="53" xfId="0" applyNumberFormat="1" applyFont="1" applyBorder="1" applyAlignment="1">
      <alignment horizontal="right"/>
    </xf>
    <xf numFmtId="166" fontId="0" fillId="4" borderId="53" xfId="0" applyNumberFormat="1" applyFill="1" applyBorder="1" applyAlignment="1">
      <alignment horizontal="right"/>
    </xf>
    <xf numFmtId="0" fontId="0" fillId="0" borderId="53" xfId="0" applyBorder="1" applyAlignment="1" applyProtection="1">
      <protection locked="0"/>
    </xf>
    <xf numFmtId="0" fontId="0" fillId="0" borderId="53" xfId="0" applyBorder="1" applyAlignment="1" applyProtection="1">
      <alignment horizontal="left"/>
      <protection locked="0"/>
    </xf>
    <xf numFmtId="0" fontId="0" fillId="0" borderId="53" xfId="0" applyBorder="1" applyAlignment="1" applyProtection="1">
      <alignment wrapText="1"/>
      <protection locked="0"/>
    </xf>
    <xf numFmtId="166" fontId="0" fillId="24" borderId="53" xfId="0" applyNumberFormat="1" applyFill="1" applyBorder="1" applyAlignment="1" applyProtection="1">
      <alignment horizontal="right"/>
      <protection locked="0"/>
    </xf>
    <xf numFmtId="166" fontId="0" fillId="24" borderId="53" xfId="0" applyNumberFormat="1" applyFill="1" applyBorder="1" applyAlignment="1">
      <alignment horizontal="right"/>
    </xf>
    <xf numFmtId="0" fontId="6" fillId="0" borderId="0" xfId="0" applyFont="1" applyAlignment="1">
      <alignment vertical="top" wrapText="1"/>
    </xf>
    <xf numFmtId="37" fontId="0" fillId="24" borderId="53" xfId="1" applyNumberFormat="1" applyFont="1" applyFill="1" applyBorder="1" applyAlignment="1" applyProtection="1">
      <protection locked="0"/>
    </xf>
    <xf numFmtId="3" fontId="52" fillId="0" borderId="0" xfId="0" applyNumberFormat="1" applyFont="1" applyAlignment="1" applyProtection="1">
      <protection locked="0"/>
    </xf>
    <xf numFmtId="0" fontId="53" fillId="0" borderId="0" xfId="0" applyFont="1" applyAlignment="1" applyProtection="1">
      <protection locked="0"/>
    </xf>
    <xf numFmtId="41" fontId="53" fillId="0" borderId="0" xfId="6" applyFont="1" applyAlignment="1" applyProtection="1">
      <protection locked="0"/>
    </xf>
    <xf numFmtId="173" fontId="53" fillId="0" borderId="0" xfId="2" applyNumberFormat="1" applyFont="1" applyAlignment="1" applyProtection="1">
      <protection locked="0"/>
    </xf>
    <xf numFmtId="0" fontId="6" fillId="0" borderId="51" xfId="0" applyFont="1" applyBorder="1" applyAlignment="1" applyProtection="1">
      <alignment horizontal="center"/>
      <protection locked="0"/>
    </xf>
    <xf numFmtId="0" fontId="0" fillId="0" borderId="54" xfId="0" applyBorder="1" applyAlignment="1" applyProtection="1">
      <alignment horizontal="center"/>
      <protection locked="0"/>
    </xf>
    <xf numFmtId="0" fontId="0" fillId="0" borderId="52" xfId="0" applyBorder="1" applyAlignment="1" applyProtection="1">
      <alignment horizontal="center"/>
      <protection locked="0"/>
    </xf>
    <xf numFmtId="0" fontId="53" fillId="0" borderId="0" xfId="0" applyFont="1" applyAlignment="1" applyProtection="1">
      <alignment horizontal="center" vertical="center"/>
      <protection locked="0"/>
    </xf>
    <xf numFmtId="168" fontId="0" fillId="24" borderId="53" xfId="1" applyFont="1" applyFill="1" applyBorder="1" applyAlignment="1" applyProtection="1">
      <protection locked="0"/>
    </xf>
    <xf numFmtId="1" fontId="0" fillId="24" borderId="53" xfId="0" applyNumberFormat="1" applyFill="1" applyBorder="1" applyAlignment="1" applyProtection="1">
      <protection locked="0"/>
    </xf>
    <xf numFmtId="37" fontId="53" fillId="0" borderId="0" xfId="0" applyNumberFormat="1" applyFont="1" applyAlignment="1" applyProtection="1">
      <protection locked="0"/>
    </xf>
    <xf numFmtId="0" fontId="62" fillId="0" borderId="0" xfId="0" applyFont="1" applyAlignment="1" applyProtection="1">
      <protection locked="0"/>
    </xf>
    <xf numFmtId="165" fontId="53" fillId="0" borderId="0" xfId="0" applyNumberFormat="1" applyFont="1" applyAlignment="1" applyProtection="1">
      <protection locked="0"/>
    </xf>
    <xf numFmtId="0" fontId="0" fillId="0" borderId="51" xfId="0" applyBorder="1" applyAlignment="1" applyProtection="1">
      <protection locked="0"/>
    </xf>
    <xf numFmtId="0" fontId="0" fillId="0" borderId="54" xfId="0" applyBorder="1" applyAlignment="1" applyProtection="1">
      <protection locked="0"/>
    </xf>
    <xf numFmtId="0" fontId="0" fillId="0" borderId="52" xfId="0" applyBorder="1" applyAlignment="1" applyProtection="1">
      <protection locked="0"/>
    </xf>
    <xf numFmtId="166" fontId="53" fillId="0" borderId="0" xfId="0" applyNumberFormat="1" applyFont="1" applyAlignment="1" applyProtection="1">
      <protection locked="0"/>
    </xf>
    <xf numFmtId="0" fontId="53" fillId="0" borderId="51" xfId="0" applyFont="1" applyBorder="1" applyAlignment="1" applyProtection="1">
      <protection locked="0"/>
    </xf>
    <xf numFmtId="10" fontId="53" fillId="0" borderId="0" xfId="2" applyNumberFormat="1" applyFont="1" applyAlignment="1" applyProtection="1">
      <protection locked="0"/>
    </xf>
    <xf numFmtId="0" fontId="71" fillId="0" borderId="0" xfId="0" applyFont="1" applyProtection="1">
      <alignment vertical="top"/>
      <protection locked="0"/>
    </xf>
    <xf numFmtId="168" fontId="53" fillId="0" borderId="0" xfId="1" applyFont="1" applyFill="1" applyAlignment="1" applyProtection="1">
      <protection locked="0"/>
    </xf>
    <xf numFmtId="0" fontId="27" fillId="0" borderId="0" xfId="3" applyFont="1" applyProtection="1">
      <protection locked="0"/>
    </xf>
    <xf numFmtId="0" fontId="33" fillId="0" borderId="0" xfId="0" applyFont="1" applyAlignment="1" applyProtection="1">
      <protection locked="0"/>
    </xf>
    <xf numFmtId="0" fontId="58" fillId="2" borderId="45" xfId="0" applyFont="1" applyFill="1" applyBorder="1" applyAlignment="1" applyProtection="1">
      <alignment horizontal="center" vertical="center" wrapText="1"/>
      <protection locked="0"/>
    </xf>
    <xf numFmtId="0" fontId="59" fillId="2" borderId="45" xfId="0" applyFont="1" applyFill="1" applyBorder="1" applyAlignment="1" applyProtection="1">
      <alignment horizontal="center" vertical="center" wrapText="1"/>
      <protection locked="0"/>
    </xf>
    <xf numFmtId="37" fontId="59" fillId="2" borderId="45" xfId="1" applyNumberFormat="1" applyFont="1" applyFill="1" applyBorder="1" applyAlignment="1" applyProtection="1">
      <alignment horizontal="right" vertical="center" wrapText="1"/>
      <protection locked="0"/>
    </xf>
    <xf numFmtId="169" fontId="59" fillId="2" borderId="45" xfId="1" applyNumberFormat="1" applyFont="1" applyFill="1" applyBorder="1" applyAlignment="1" applyProtection="1">
      <alignment horizontal="right" vertical="center" wrapText="1"/>
      <protection locked="0"/>
    </xf>
    <xf numFmtId="0" fontId="63" fillId="0" borderId="0" xfId="0" applyFont="1" applyAlignment="1" applyProtection="1">
      <alignment horizontal="left" vertical="center"/>
      <protection locked="0"/>
    </xf>
    <xf numFmtId="0" fontId="5" fillId="0" borderId="0" xfId="3" applyProtection="1">
      <protection locked="0"/>
    </xf>
    <xf numFmtId="2" fontId="59" fillId="2" borderId="45" xfId="6" applyNumberFormat="1" applyFont="1" applyFill="1" applyBorder="1" applyAlignment="1" applyProtection="1">
      <alignment horizontal="right" vertical="center" wrapText="1"/>
      <protection locked="0"/>
    </xf>
    <xf numFmtId="10" fontId="59" fillId="2" borderId="45" xfId="2" applyNumberFormat="1" applyFont="1" applyFill="1" applyBorder="1" applyAlignment="1" applyProtection="1">
      <alignment horizontal="right" vertical="center" wrapText="1"/>
      <protection locked="0"/>
    </xf>
    <xf numFmtId="0" fontId="5" fillId="0" borderId="0" xfId="3" applyAlignment="1" applyProtection="1">
      <alignment wrapText="1"/>
      <protection locked="0"/>
    </xf>
    <xf numFmtId="0" fontId="0" fillId="0" borderId="54" xfId="0" applyBorder="1" applyAlignment="1" applyProtection="1">
      <alignment horizontal="center" wrapText="1"/>
      <protection locked="0"/>
    </xf>
    <xf numFmtId="0" fontId="0" fillId="0" borderId="53" xfId="0" applyBorder="1" applyAlignment="1" applyProtection="1">
      <alignment horizontal="left" wrapText="1"/>
      <protection locked="0"/>
    </xf>
    <xf numFmtId="0" fontId="53" fillId="0" borderId="0" xfId="0" applyFont="1" applyAlignment="1" applyProtection="1">
      <alignment wrapText="1"/>
      <protection locked="0"/>
    </xf>
    <xf numFmtId="0" fontId="71" fillId="0" borderId="0" xfId="0" applyFont="1" applyAlignment="1" applyProtection="1">
      <alignment vertical="top" wrapText="1"/>
      <protection locked="0"/>
    </xf>
    <xf numFmtId="0" fontId="27" fillId="0" borderId="0" xfId="3" applyFont="1" applyAlignment="1" applyProtection="1">
      <alignment wrapText="1"/>
      <protection locked="0"/>
    </xf>
    <xf numFmtId="0" fontId="63" fillId="0" borderId="0" xfId="0" applyFont="1" applyAlignment="1" applyProtection="1">
      <alignment horizontal="left" vertical="center" wrapText="1"/>
      <protection locked="0"/>
    </xf>
    <xf numFmtId="0" fontId="6" fillId="0" borderId="53" xfId="0" applyFont="1" applyBorder="1" applyAlignment="1" applyProtection="1">
      <alignment horizontal="left" vertical="center" wrapText="1"/>
      <protection locked="0"/>
    </xf>
    <xf numFmtId="10" fontId="0" fillId="3" borderId="0" xfId="0" applyNumberFormat="1" applyFill="1">
      <alignment vertical="top"/>
    </xf>
    <xf numFmtId="0" fontId="0" fillId="0" borderId="53" xfId="0" applyBorder="1" applyAlignment="1" applyProtection="1">
      <alignment horizontal="left" vertical="center" wrapText="1"/>
      <protection locked="0"/>
    </xf>
    <xf numFmtId="0" fontId="0" fillId="0" borderId="53" xfId="0" applyBorder="1" applyAlignment="1" applyProtection="1">
      <alignment vertical="center" wrapText="1"/>
      <protection locked="0"/>
    </xf>
    <xf numFmtId="37" fontId="0" fillId="24" borderId="53" xfId="1" applyNumberFormat="1" applyFont="1" applyFill="1" applyBorder="1" applyAlignment="1" applyProtection="1">
      <alignment vertical="center"/>
    </xf>
    <xf numFmtId="174" fontId="0" fillId="24" borderId="53" xfId="1" applyNumberFormat="1" applyFont="1" applyFill="1" applyBorder="1" applyAlignment="1" applyProtection="1">
      <alignment vertical="center"/>
    </xf>
    <xf numFmtId="0" fontId="0" fillId="0" borderId="53" xfId="0" applyBorder="1" applyAlignment="1" applyProtection="1">
      <alignment vertical="center"/>
      <protection locked="0"/>
    </xf>
    <xf numFmtId="1" fontId="0" fillId="24" borderId="53" xfId="0" applyNumberFormat="1" applyFill="1" applyBorder="1" applyAlignment="1">
      <alignment vertical="center"/>
    </xf>
    <xf numFmtId="0" fontId="53" fillId="0" borderId="0" xfId="0" applyFont="1" applyAlignment="1" applyProtection="1">
      <alignment vertical="center"/>
      <protection locked="0"/>
    </xf>
    <xf numFmtId="37" fontId="53" fillId="0" borderId="0" xfId="0" applyNumberFormat="1" applyFont="1" applyAlignment="1" applyProtection="1">
      <alignment vertical="center"/>
      <protection locked="0"/>
    </xf>
    <xf numFmtId="168" fontId="0" fillId="24" borderId="53" xfId="1" applyFont="1" applyFill="1" applyBorder="1" applyAlignment="1" applyProtection="1">
      <alignment vertical="center"/>
    </xf>
    <xf numFmtId="3" fontId="23" fillId="0" borderId="0" xfId="0" applyNumberFormat="1" applyFont="1" applyAlignment="1" applyProtection="1">
      <alignment wrapText="1"/>
      <protection locked="0"/>
    </xf>
    <xf numFmtId="0" fontId="68" fillId="0" borderId="0" xfId="0" applyFont="1" applyAlignment="1" applyProtection="1">
      <alignment wrapText="1"/>
      <protection locked="0"/>
    </xf>
    <xf numFmtId="0" fontId="83" fillId="0" borderId="0" xfId="0" applyFont="1" applyAlignment="1" applyProtection="1">
      <alignment vertical="top" wrapText="1"/>
      <protection locked="0"/>
    </xf>
    <xf numFmtId="0" fontId="68" fillId="0" borderId="0" xfId="0" applyFont="1" applyAlignment="1" applyProtection="1">
      <alignment vertical="center" wrapText="1"/>
      <protection locked="0"/>
    </xf>
    <xf numFmtId="0" fontId="84" fillId="0" borderId="0" xfId="0" applyFont="1" applyAlignment="1" applyProtection="1">
      <alignment wrapText="1"/>
      <protection locked="0"/>
    </xf>
    <xf numFmtId="0" fontId="85" fillId="0" borderId="0" xfId="0" applyFont="1" applyAlignment="1" applyProtection="1">
      <alignment wrapText="1"/>
      <protection locked="0"/>
    </xf>
    <xf numFmtId="166" fontId="82" fillId="24" borderId="53" xfId="0" applyNumberFormat="1" applyFont="1" applyFill="1" applyBorder="1" applyAlignment="1">
      <alignment horizontal="right"/>
    </xf>
    <xf numFmtId="0" fontId="0" fillId="0" borderId="0" xfId="0" applyAlignment="1">
      <alignment vertical="top" wrapText="1"/>
    </xf>
    <xf numFmtId="0" fontId="0" fillId="0" borderId="1" xfId="0" applyBorder="1" applyAlignment="1">
      <alignment vertical="top" wrapText="1"/>
    </xf>
    <xf numFmtId="3" fontId="52" fillId="0" borderId="1" xfId="0" applyNumberFormat="1" applyFont="1" applyBorder="1" applyAlignment="1">
      <alignment horizontal="right" vertical="center" wrapText="1"/>
    </xf>
    <xf numFmtId="0" fontId="13" fillId="0" borderId="61" xfId="0" applyFont="1" applyBorder="1" applyAlignment="1">
      <alignment vertical="center"/>
    </xf>
    <xf numFmtId="0" fontId="13" fillId="0" borderId="61" xfId="0" applyFont="1" applyBorder="1" applyAlignment="1">
      <alignment horizontal="left" vertical="center"/>
    </xf>
    <xf numFmtId="0" fontId="52" fillId="0" borderId="61" xfId="0" applyFont="1" applyBorder="1" applyAlignment="1">
      <alignment horizontal="left" vertical="center"/>
    </xf>
    <xf numFmtId="0" fontId="12" fillId="15" borderId="61" xfId="0" applyFont="1" applyFill="1" applyBorder="1" applyAlignment="1">
      <alignment horizontal="center" vertical="center" wrapText="1"/>
    </xf>
    <xf numFmtId="0" fontId="0" fillId="0" borderId="0" xfId="0" applyFill="1">
      <alignment vertical="top"/>
    </xf>
    <xf numFmtId="0" fontId="0" fillId="0" borderId="1" xfId="0" applyFill="1" applyBorder="1" applyAlignment="1">
      <alignment vertical="top" wrapText="1"/>
    </xf>
    <xf numFmtId="0" fontId="0" fillId="0" borderId="1" xfId="0" applyFill="1" applyBorder="1">
      <alignment vertical="top"/>
    </xf>
    <xf numFmtId="169" fontId="0" fillId="0" borderId="1" xfId="1" applyNumberFormat="1" applyFont="1" applyFill="1" applyBorder="1" applyAlignment="1">
      <alignment vertical="top"/>
    </xf>
    <xf numFmtId="168" fontId="53" fillId="0" borderId="1" xfId="1" applyFont="1" applyFill="1" applyBorder="1" applyAlignment="1">
      <alignment vertical="top"/>
    </xf>
    <xf numFmtId="0" fontId="6" fillId="0" borderId="1" xfId="0" applyFont="1" applyFill="1" applyBorder="1">
      <alignment vertical="top"/>
    </xf>
    <xf numFmtId="169" fontId="0" fillId="0" borderId="1" xfId="0" applyNumberFormat="1" applyFill="1" applyBorder="1">
      <alignment vertical="top"/>
    </xf>
    <xf numFmtId="0" fontId="13" fillId="6" borderId="1" xfId="0" applyFont="1" applyFill="1" applyBorder="1" applyAlignment="1">
      <alignment horizontal="left" vertical="center"/>
    </xf>
    <xf numFmtId="0" fontId="0" fillId="6" borderId="1" xfId="0" applyFill="1" applyBorder="1">
      <alignment vertical="top"/>
    </xf>
    <xf numFmtId="0" fontId="0" fillId="6" borderId="1" xfId="0" applyFill="1" applyBorder="1" applyAlignment="1">
      <alignment vertical="top" wrapText="1"/>
    </xf>
    <xf numFmtId="169" fontId="0" fillId="6" borderId="1" xfId="1" applyNumberFormat="1" applyFont="1" applyFill="1" applyBorder="1" applyAlignment="1">
      <alignment vertical="top"/>
    </xf>
    <xf numFmtId="168" fontId="53" fillId="6" borderId="1" xfId="1" applyFont="1" applyFill="1" applyBorder="1" applyAlignment="1">
      <alignment vertical="top"/>
    </xf>
    <xf numFmtId="0" fontId="6" fillId="6" borderId="1" xfId="0" applyFont="1" applyFill="1" applyBorder="1">
      <alignment vertical="top"/>
    </xf>
    <xf numFmtId="169" fontId="0" fillId="6" borderId="1" xfId="0" applyNumberFormat="1" applyFill="1" applyBorder="1">
      <alignment vertical="top"/>
    </xf>
    <xf numFmtId="168" fontId="0" fillId="0" borderId="53" xfId="1" applyFont="1" applyBorder="1" applyAlignment="1" applyProtection="1">
      <alignment vertical="center"/>
      <protection locked="0"/>
    </xf>
    <xf numFmtId="168" fontId="0" fillId="24" borderId="53" xfId="1" applyFont="1" applyFill="1" applyBorder="1" applyAlignment="1">
      <alignment vertical="center"/>
    </xf>
    <xf numFmtId="0" fontId="16" fillId="0" borderId="0" xfId="0" applyFont="1" applyFill="1" applyAlignment="1" applyProtection="1">
      <alignment vertical="center"/>
      <protection locked="0"/>
    </xf>
    <xf numFmtId="3" fontId="52" fillId="0" borderId="0" xfId="0" applyNumberFormat="1" applyFont="1" applyFill="1" applyAlignment="1" applyProtection="1">
      <alignment horizontal="center" vertical="center"/>
      <protection locked="0"/>
    </xf>
    <xf numFmtId="3" fontId="52" fillId="0" borderId="0" xfId="0" applyNumberFormat="1" applyFont="1" applyFill="1" applyAlignment="1" applyProtection="1">
      <alignment horizontal="center"/>
      <protection locked="0"/>
    </xf>
    <xf numFmtId="3" fontId="52" fillId="0" borderId="0" xfId="0" applyNumberFormat="1" applyFont="1" applyFill="1" applyAlignment="1" applyProtection="1">
      <protection locked="0"/>
    </xf>
    <xf numFmtId="49" fontId="19" fillId="0" borderId="0" xfId="0" applyNumberFormat="1" applyFont="1" applyFill="1" applyAlignment="1" applyProtection="1">
      <alignment horizontal="left" vertical="center"/>
      <protection locked="0"/>
    </xf>
    <xf numFmtId="0" fontId="6" fillId="0" borderId="67" xfId="0" applyFont="1" applyFill="1" applyBorder="1" applyAlignment="1" applyProtection="1">
      <alignment vertical="center"/>
      <protection locked="0"/>
    </xf>
    <xf numFmtId="0" fontId="0" fillId="0" borderId="70" xfId="0" applyFill="1" applyBorder="1" applyAlignment="1" applyProtection="1">
      <alignment vertical="center"/>
      <protection locked="0"/>
    </xf>
    <xf numFmtId="0" fontId="0" fillId="0" borderId="72" xfId="0" applyFill="1" applyBorder="1" applyAlignment="1" applyProtection="1">
      <alignment vertical="center"/>
      <protection locked="0"/>
    </xf>
    <xf numFmtId="0" fontId="34" fillId="0" borderId="67" xfId="0" applyFont="1" applyFill="1" applyBorder="1" applyAlignment="1" applyProtection="1">
      <alignment vertical="center" wrapText="1"/>
      <protection locked="0"/>
    </xf>
    <xf numFmtId="0" fontId="34" fillId="0" borderId="72" xfId="0" applyFont="1" applyFill="1" applyBorder="1" applyAlignment="1" applyProtection="1">
      <alignment vertical="center" wrapText="1"/>
      <protection locked="0"/>
    </xf>
    <xf numFmtId="14" fontId="0" fillId="0" borderId="97" xfId="0" applyNumberFormat="1" applyFill="1" applyBorder="1" applyAlignment="1" applyProtection="1">
      <alignment vertical="center"/>
      <protection locked="0"/>
    </xf>
    <xf numFmtId="14" fontId="0" fillId="0" borderId="3" xfId="0" applyNumberFormat="1" applyFill="1" applyBorder="1" applyAlignment="1" applyProtection="1">
      <alignment vertical="center"/>
      <protection locked="0"/>
    </xf>
    <xf numFmtId="14" fontId="0" fillId="0" borderId="82" xfId="0" applyNumberFormat="1" applyFill="1" applyBorder="1" applyAlignment="1" applyProtection="1">
      <alignment vertical="center"/>
      <protection locked="0"/>
    </xf>
    <xf numFmtId="14" fontId="0" fillId="0" borderId="62" xfId="0" applyNumberFormat="1" applyFill="1" applyBorder="1" applyAlignment="1" applyProtection="1">
      <alignment vertical="center"/>
      <protection locked="0"/>
    </xf>
    <xf numFmtId="14" fontId="0" fillId="0" borderId="75" xfId="0" applyNumberFormat="1" applyFill="1" applyBorder="1" applyAlignment="1" applyProtection="1">
      <alignment vertical="center"/>
      <protection locked="0"/>
    </xf>
    <xf numFmtId="14" fontId="0" fillId="0" borderId="89" xfId="0" applyNumberFormat="1" applyFill="1" applyBorder="1" applyAlignment="1" applyProtection="1">
      <alignment vertical="center"/>
      <protection locked="0"/>
    </xf>
    <xf numFmtId="0" fontId="13" fillId="0" borderId="0" xfId="0" applyFont="1" applyBorder="1" applyAlignment="1">
      <alignment horizontal="left" vertical="center"/>
    </xf>
    <xf numFmtId="0" fontId="52" fillId="0" borderId="0" xfId="0" applyFont="1" applyBorder="1" applyAlignment="1">
      <alignment horizontal="center" vertical="center"/>
    </xf>
    <xf numFmtId="3" fontId="52" fillId="0" borderId="0" xfId="0" applyNumberFormat="1" applyFont="1" applyBorder="1" applyAlignment="1">
      <alignment horizontal="right" vertical="center" wrapText="1"/>
    </xf>
    <xf numFmtId="3" fontId="52" fillId="0" borderId="0" xfId="0" applyNumberFormat="1" applyFont="1" applyBorder="1" applyAlignment="1">
      <alignment horizontal="right" vertical="center"/>
    </xf>
    <xf numFmtId="10" fontId="0" fillId="3" borderId="0" xfId="2" applyNumberFormat="1" applyFont="1" applyFill="1" applyAlignment="1">
      <alignment vertical="top"/>
    </xf>
    <xf numFmtId="0" fontId="87" fillId="0" borderId="0" xfId="0" applyFont="1" applyAlignment="1" applyProtection="1">
      <alignment horizontal="left" vertical="top"/>
      <protection locked="0"/>
    </xf>
    <xf numFmtId="0" fontId="33" fillId="0" borderId="2" xfId="0" applyFont="1" applyBorder="1" applyAlignment="1" applyProtection="1">
      <alignment horizontal="center" vertical="center"/>
      <protection locked="0"/>
    </xf>
    <xf numFmtId="0" fontId="33" fillId="0" borderId="3" xfId="0" applyFont="1" applyBorder="1" applyAlignment="1" applyProtection="1">
      <alignment horizontal="center" vertical="center"/>
      <protection locked="0"/>
    </xf>
    <xf numFmtId="0" fontId="33" fillId="0" borderId="82" xfId="0" applyFont="1" applyBorder="1" applyAlignment="1" applyProtection="1">
      <alignment horizontal="center" vertical="center"/>
      <protection locked="0"/>
    </xf>
    <xf numFmtId="0" fontId="33" fillId="0" borderId="99" xfId="0" applyFont="1" applyBorder="1" applyAlignment="1" applyProtection="1">
      <alignment horizontal="center" vertical="center"/>
      <protection locked="0"/>
    </xf>
    <xf numFmtId="0" fontId="33" fillId="0" borderId="75" xfId="0" applyFont="1" applyBorder="1" applyAlignment="1" applyProtection="1">
      <alignment horizontal="center" vertical="center"/>
      <protection locked="0"/>
    </xf>
    <xf numFmtId="0" fontId="33" fillId="0" borderId="89" xfId="0" applyFont="1" applyBorder="1" applyAlignment="1" applyProtection="1">
      <alignment horizontal="center" vertical="center"/>
      <protection locked="0"/>
    </xf>
    <xf numFmtId="0" fontId="87" fillId="0" borderId="0" xfId="0" applyFont="1" applyAlignment="1" applyProtection="1">
      <alignment horizontal="left" vertical="top" wrapText="1"/>
      <protection locked="0"/>
    </xf>
    <xf numFmtId="3" fontId="52" fillId="0" borderId="0" xfId="0" applyNumberFormat="1" applyFont="1" applyFill="1" applyAlignment="1" applyProtection="1">
      <alignment horizontal="center"/>
      <protection locked="0"/>
    </xf>
    <xf numFmtId="0" fontId="53" fillId="0" borderId="54" xfId="0" applyFont="1" applyBorder="1" applyAlignment="1" applyProtection="1">
      <alignment horizontal="center"/>
      <protection locked="0"/>
    </xf>
    <xf numFmtId="0" fontId="53" fillId="0" borderId="52" xfId="0" applyFont="1" applyBorder="1" applyAlignment="1" applyProtection="1">
      <alignment horizontal="center"/>
      <protection locked="0"/>
    </xf>
    <xf numFmtId="0" fontId="68" fillId="0" borderId="58" xfId="0" applyFont="1" applyBorder="1" applyAlignment="1" applyProtection="1">
      <alignment horizontal="left"/>
      <protection locked="0"/>
    </xf>
    <xf numFmtId="0" fontId="68" fillId="0" borderId="59" xfId="0" applyFont="1" applyBorder="1" applyAlignment="1" applyProtection="1">
      <alignment horizontal="left"/>
      <protection locked="0"/>
    </xf>
    <xf numFmtId="0" fontId="0" fillId="0" borderId="51" xfId="0" applyBorder="1" applyAlignment="1" applyProtection="1">
      <alignment horizontal="left"/>
      <protection locked="0"/>
    </xf>
    <xf numFmtId="0" fontId="0" fillId="0" borderId="54" xfId="0" applyBorder="1" applyAlignment="1" applyProtection="1">
      <alignment horizontal="left"/>
      <protection locked="0"/>
    </xf>
    <xf numFmtId="0" fontId="0" fillId="0" borderId="52" xfId="0" applyBorder="1" applyAlignment="1" applyProtection="1">
      <alignment horizontal="left"/>
      <protection locked="0"/>
    </xf>
    <xf numFmtId="0" fontId="69" fillId="0" borderId="51" xfId="0" applyFont="1" applyBorder="1" applyAlignment="1" applyProtection="1">
      <alignment horizontal="left"/>
      <protection locked="0"/>
    </xf>
    <xf numFmtId="0" fontId="69" fillId="0" borderId="54" xfId="0" applyFont="1" applyBorder="1" applyAlignment="1" applyProtection="1">
      <alignment horizontal="left"/>
      <protection locked="0"/>
    </xf>
    <xf numFmtId="0" fontId="69" fillId="0" borderId="52" xfId="0" applyFont="1" applyBorder="1" applyAlignment="1" applyProtection="1">
      <alignment horizontal="left"/>
      <protection locked="0"/>
    </xf>
    <xf numFmtId="0" fontId="6" fillId="0" borderId="51" xfId="0" applyFont="1" applyBorder="1" applyAlignment="1" applyProtection="1">
      <alignment horizontal="left"/>
      <protection locked="0"/>
    </xf>
    <xf numFmtId="0" fontId="6" fillId="0" borderId="54" xfId="0" applyFont="1" applyBorder="1" applyAlignment="1" applyProtection="1">
      <alignment horizontal="left"/>
      <protection locked="0"/>
    </xf>
    <xf numFmtId="166" fontId="67" fillId="4" borderId="55" xfId="0" applyNumberFormat="1" applyFont="1" applyFill="1" applyBorder="1" applyAlignment="1">
      <alignment horizontal="center"/>
    </xf>
    <xf numFmtId="164" fontId="67" fillId="4" borderId="56" xfId="0" applyNumberFormat="1" applyFont="1" applyFill="1" applyBorder="1" applyAlignment="1">
      <alignment horizontal="center"/>
    </xf>
    <xf numFmtId="164" fontId="67" fillId="4" borderId="57" xfId="0" applyNumberFormat="1" applyFont="1" applyFill="1" applyBorder="1" applyAlignment="1">
      <alignment horizontal="center"/>
    </xf>
    <xf numFmtId="164" fontId="67" fillId="4" borderId="76" xfId="0" applyNumberFormat="1" applyFont="1" applyFill="1" applyBorder="1" applyAlignment="1">
      <alignment horizontal="center"/>
    </xf>
    <xf numFmtId="164" fontId="67" fillId="4" borderId="0" xfId="0" applyNumberFormat="1" applyFont="1" applyFill="1" applyBorder="1" applyAlignment="1">
      <alignment horizontal="center"/>
    </xf>
    <xf numFmtId="164" fontId="67" fillId="4" borderId="66" xfId="0" applyNumberFormat="1" applyFont="1" applyFill="1" applyBorder="1" applyAlignment="1">
      <alignment horizontal="center"/>
    </xf>
    <xf numFmtId="0" fontId="0" fillId="0" borderId="95" xfId="0" applyFill="1" applyBorder="1" applyAlignment="1" applyProtection="1">
      <alignment horizontal="left" vertical="center"/>
      <protection locked="0"/>
    </xf>
    <xf numFmtId="0" fontId="0" fillId="0" borderId="96" xfId="0" applyFill="1" applyBorder="1" applyAlignment="1" applyProtection="1">
      <alignment horizontal="left" vertical="center"/>
      <protection locked="0"/>
    </xf>
    <xf numFmtId="0" fontId="6" fillId="0" borderId="87" xfId="0" applyFont="1" applyFill="1" applyBorder="1" applyAlignment="1" applyProtection="1">
      <alignment horizontal="left" vertical="center"/>
      <protection locked="0"/>
    </xf>
    <xf numFmtId="0" fontId="6" fillId="0" borderId="64" xfId="0" applyFont="1" applyFill="1" applyBorder="1" applyAlignment="1" applyProtection="1">
      <alignment horizontal="left" vertical="center"/>
      <protection locked="0"/>
    </xf>
    <xf numFmtId="0" fontId="6" fillId="0" borderId="88" xfId="0" applyFont="1" applyFill="1" applyBorder="1" applyAlignment="1" applyProtection="1">
      <alignment horizontal="left" vertical="center"/>
      <protection locked="0"/>
    </xf>
    <xf numFmtId="0" fontId="7" fillId="0" borderId="51" xfId="0" applyFont="1" applyBorder="1" applyAlignment="1" applyProtection="1">
      <alignment horizontal="left"/>
      <protection locked="0"/>
    </xf>
    <xf numFmtId="0" fontId="7" fillId="0" borderId="54" xfId="0" applyFont="1" applyBorder="1" applyAlignment="1" applyProtection="1">
      <alignment horizontal="left"/>
      <protection locked="0"/>
    </xf>
    <xf numFmtId="0" fontId="7" fillId="0" borderId="52" xfId="0" applyFont="1" applyBorder="1" applyAlignment="1" applyProtection="1">
      <alignment horizontal="left"/>
      <protection locked="0"/>
    </xf>
    <xf numFmtId="0" fontId="33" fillId="0" borderId="54" xfId="0" applyFont="1" applyBorder="1" applyAlignment="1" applyProtection="1">
      <alignment horizontal="center"/>
      <protection locked="0"/>
    </xf>
    <xf numFmtId="0" fontId="33" fillId="0" borderId="52" xfId="0" applyFont="1" applyBorder="1" applyAlignment="1" applyProtection="1">
      <alignment horizontal="center"/>
      <protection locked="0"/>
    </xf>
    <xf numFmtId="0" fontId="82" fillId="0" borderId="51" xfId="0" applyFont="1" applyBorder="1" applyAlignment="1" applyProtection="1">
      <alignment horizontal="left"/>
      <protection locked="0"/>
    </xf>
    <xf numFmtId="0" fontId="82" fillId="0" borderId="54" xfId="0" applyFont="1" applyBorder="1" applyAlignment="1" applyProtection="1">
      <alignment horizontal="left"/>
      <protection locked="0"/>
    </xf>
    <xf numFmtId="0" fontId="82" fillId="0" borderId="52" xfId="0" applyFont="1" applyBorder="1" applyAlignment="1" applyProtection="1">
      <alignment horizontal="left"/>
      <protection locked="0"/>
    </xf>
    <xf numFmtId="0" fontId="86" fillId="0" borderId="55" xfId="0" applyFont="1" applyFill="1" applyBorder="1" applyAlignment="1" applyProtection="1">
      <alignment horizontal="left" wrapText="1"/>
      <protection locked="0"/>
    </xf>
    <xf numFmtId="0" fontId="86" fillId="0" borderId="56" xfId="0" applyFont="1" applyFill="1" applyBorder="1" applyAlignment="1" applyProtection="1">
      <alignment horizontal="left" wrapText="1"/>
      <protection locked="0"/>
    </xf>
    <xf numFmtId="0" fontId="86" fillId="0" borderId="57" xfId="0" applyFont="1" applyFill="1" applyBorder="1" applyAlignment="1" applyProtection="1">
      <alignment horizontal="left" wrapText="1"/>
      <protection locked="0"/>
    </xf>
    <xf numFmtId="0" fontId="86" fillId="0" borderId="98" xfId="0" applyFont="1" applyFill="1" applyBorder="1" applyAlignment="1" applyProtection="1">
      <alignment horizontal="left" wrapText="1"/>
      <protection locked="0"/>
    </xf>
    <xf numFmtId="0" fontId="86" fillId="0" borderId="22" xfId="0" applyFont="1" applyFill="1" applyBorder="1" applyAlignment="1" applyProtection="1">
      <alignment horizontal="left" wrapText="1"/>
      <protection locked="0"/>
    </xf>
    <xf numFmtId="0" fontId="0" fillId="0" borderId="51" xfId="0" applyBorder="1" applyAlignment="1" applyProtection="1">
      <protection locked="0"/>
    </xf>
    <xf numFmtId="0" fontId="0" fillId="0" borderId="54" xfId="0" applyBorder="1" applyAlignment="1" applyProtection="1">
      <protection locked="0"/>
    </xf>
    <xf numFmtId="0" fontId="0" fillId="0" borderId="52" xfId="0" applyBorder="1" applyAlignment="1" applyProtection="1">
      <protection locked="0"/>
    </xf>
    <xf numFmtId="0" fontId="53" fillId="0" borderId="76" xfId="0" applyFont="1" applyBorder="1" applyAlignment="1" applyProtection="1">
      <alignment horizontal="left" vertical="center" wrapText="1"/>
      <protection locked="0"/>
    </xf>
    <xf numFmtId="0" fontId="53" fillId="0" borderId="0" xfId="0" applyFont="1" applyBorder="1" applyAlignment="1" applyProtection="1">
      <alignment horizontal="left" vertical="center" wrapText="1"/>
      <protection locked="0"/>
    </xf>
    <xf numFmtId="0" fontId="53" fillId="0" borderId="66" xfId="0" applyFont="1" applyBorder="1" applyAlignment="1" applyProtection="1">
      <alignment horizontal="left" vertical="center" wrapText="1"/>
      <protection locked="0"/>
    </xf>
    <xf numFmtId="0" fontId="53" fillId="0" borderId="58" xfId="0" applyFont="1" applyBorder="1" applyAlignment="1" applyProtection="1">
      <alignment horizontal="left" vertical="center" wrapText="1"/>
      <protection locked="0"/>
    </xf>
    <xf numFmtId="0" fontId="53" fillId="0" borderId="59" xfId="0" applyFont="1" applyBorder="1" applyAlignment="1" applyProtection="1">
      <alignment horizontal="left" vertical="center" wrapText="1"/>
      <protection locked="0"/>
    </xf>
    <xf numFmtId="0" fontId="53" fillId="0" borderId="60" xfId="0" applyFont="1" applyBorder="1" applyAlignment="1" applyProtection="1">
      <alignment horizontal="left" vertical="center" wrapText="1"/>
      <protection locked="0"/>
    </xf>
    <xf numFmtId="0" fontId="70" fillId="23" borderId="51" xfId="0" applyFont="1" applyFill="1" applyBorder="1" applyAlignment="1">
      <alignment horizontal="center"/>
    </xf>
    <xf numFmtId="0" fontId="70" fillId="23" borderId="54" xfId="0" applyFont="1" applyFill="1" applyBorder="1" applyAlignment="1">
      <alignment horizontal="center"/>
    </xf>
    <xf numFmtId="0" fontId="70" fillId="23" borderId="52" xfId="0" applyFont="1" applyFill="1" applyBorder="1" applyAlignment="1">
      <alignment horizontal="center"/>
    </xf>
    <xf numFmtId="0" fontId="0" fillId="22" borderId="51" xfId="0" applyFill="1" applyBorder="1" applyAlignment="1">
      <alignment horizontal="center"/>
    </xf>
    <xf numFmtId="0" fontId="0" fillId="22" borderId="54" xfId="0" applyFill="1" applyBorder="1" applyAlignment="1">
      <alignment horizontal="center"/>
    </xf>
    <xf numFmtId="0" fontId="0" fillId="22" borderId="52" xfId="0" applyFill="1" applyBorder="1" applyAlignment="1">
      <alignment horizontal="center"/>
    </xf>
    <xf numFmtId="0" fontId="0" fillId="0" borderId="51"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52" xfId="0" applyBorder="1" applyAlignment="1" applyProtection="1">
      <alignment horizontal="center"/>
      <protection locked="0"/>
    </xf>
    <xf numFmtId="166" fontId="0" fillId="0" borderId="51" xfId="0" applyNumberFormat="1" applyBorder="1" applyAlignment="1" applyProtection="1">
      <protection locked="0"/>
    </xf>
    <xf numFmtId="0" fontId="65" fillId="0" borderId="84" xfId="0" applyFont="1" applyFill="1" applyBorder="1" applyAlignment="1" applyProtection="1">
      <alignment horizontal="center" vertical="center" wrapText="1"/>
      <protection locked="0"/>
    </xf>
    <xf numFmtId="0" fontId="65" fillId="0" borderId="85" xfId="0" applyFont="1" applyFill="1" applyBorder="1" applyAlignment="1" applyProtection="1">
      <alignment horizontal="center" vertical="center" wrapText="1"/>
      <protection locked="0"/>
    </xf>
    <xf numFmtId="0" fontId="65" fillId="0" borderId="86" xfId="0" applyFont="1" applyFill="1" applyBorder="1" applyAlignment="1" applyProtection="1">
      <alignment horizontal="center" vertical="center" wrapText="1"/>
      <protection locked="0"/>
    </xf>
    <xf numFmtId="0" fontId="6" fillId="0" borderId="90" xfId="0" applyFont="1" applyFill="1" applyBorder="1" applyAlignment="1" applyProtection="1">
      <alignment horizontal="left" vertical="center"/>
      <protection locked="0"/>
    </xf>
    <xf numFmtId="0" fontId="6" fillId="0" borderId="91" xfId="0" applyFont="1" applyFill="1" applyBorder="1" applyAlignment="1" applyProtection="1">
      <alignment horizontal="left" vertical="center"/>
      <protection locked="0"/>
    </xf>
    <xf numFmtId="0" fontId="6" fillId="0" borderId="92" xfId="0" applyFont="1" applyFill="1" applyBorder="1" applyAlignment="1" applyProtection="1">
      <alignment horizontal="left" vertical="center"/>
      <protection locked="0"/>
    </xf>
    <xf numFmtId="14" fontId="0" fillId="0" borderId="77" xfId="0" applyNumberFormat="1" applyFill="1" applyBorder="1" applyAlignment="1" applyProtection="1">
      <alignment horizontal="center" vertical="center"/>
      <protection locked="0"/>
    </xf>
    <xf numFmtId="14" fontId="0" fillId="0" borderId="91" xfId="0" applyNumberFormat="1" applyFill="1" applyBorder="1" applyAlignment="1" applyProtection="1">
      <alignment horizontal="center" vertical="center"/>
      <protection locked="0"/>
    </xf>
    <xf numFmtId="14" fontId="0" fillId="0" borderId="93" xfId="0" applyNumberFormat="1" applyFill="1" applyBorder="1" applyAlignment="1" applyProtection="1">
      <alignment horizontal="center" vertical="center"/>
      <protection locked="0"/>
    </xf>
    <xf numFmtId="0" fontId="6" fillId="0" borderId="63" xfId="0" applyFont="1" applyFill="1" applyBorder="1" applyAlignment="1" applyProtection="1">
      <alignment horizontal="center" vertical="center"/>
      <protection locked="0"/>
    </xf>
    <xf numFmtId="0" fontId="6" fillId="0" borderId="64" xfId="0" applyFont="1" applyFill="1" applyBorder="1" applyAlignment="1" applyProtection="1">
      <alignment horizontal="center" vertical="center"/>
      <protection locked="0"/>
    </xf>
    <xf numFmtId="0" fontId="6" fillId="0" borderId="65" xfId="0" applyFont="1" applyFill="1" applyBorder="1" applyAlignment="1" applyProtection="1">
      <alignment horizontal="center" vertical="center"/>
      <protection locked="0"/>
    </xf>
    <xf numFmtId="14" fontId="0" fillId="0" borderId="73" xfId="0" applyNumberFormat="1" applyFill="1" applyBorder="1" applyAlignment="1" applyProtection="1">
      <alignment horizontal="center" vertical="center"/>
      <protection locked="0"/>
    </xf>
    <xf numFmtId="14" fontId="0" fillId="0" borderId="74" xfId="0" applyNumberFormat="1" applyFill="1" applyBorder="1" applyAlignment="1" applyProtection="1">
      <alignment horizontal="center" vertical="center"/>
      <protection locked="0"/>
    </xf>
    <xf numFmtId="0" fontId="6" fillId="0" borderId="1" xfId="0" applyFont="1" applyFill="1" applyBorder="1" applyAlignment="1" applyProtection="1">
      <alignment horizontal="left" vertical="center" wrapText="1"/>
      <protection locked="0"/>
    </xf>
    <xf numFmtId="0" fontId="6" fillId="0" borderId="71" xfId="0" applyFont="1" applyFill="1" applyBorder="1" applyAlignment="1" applyProtection="1">
      <alignment horizontal="left" vertical="center" wrapText="1"/>
      <protection locked="0"/>
    </xf>
    <xf numFmtId="0" fontId="6" fillId="0" borderId="68" xfId="0" applyFont="1" applyFill="1" applyBorder="1" applyAlignment="1" applyProtection="1">
      <alignment horizontal="center" vertical="center"/>
      <protection locked="0"/>
    </xf>
    <xf numFmtId="0" fontId="6" fillId="0" borderId="69" xfId="0" applyFont="1" applyFill="1" applyBorder="1" applyAlignment="1" applyProtection="1">
      <alignment horizontal="center" vertical="center"/>
      <protection locked="0"/>
    </xf>
    <xf numFmtId="3" fontId="6" fillId="0" borderId="70" xfId="0" applyNumberFormat="1" applyFont="1" applyFill="1" applyBorder="1" applyAlignment="1" applyProtection="1">
      <alignment horizontal="left" vertical="center"/>
      <protection locked="0"/>
    </xf>
    <xf numFmtId="3" fontId="6" fillId="0" borderId="1" xfId="0" applyNumberFormat="1" applyFont="1" applyFill="1" applyBorder="1" applyAlignment="1" applyProtection="1">
      <alignment horizontal="left" vertical="center"/>
      <protection locked="0"/>
    </xf>
    <xf numFmtId="3" fontId="72" fillId="0" borderId="1" xfId="5" applyNumberFormat="1" applyFill="1" applyBorder="1" applyAlignment="1" applyProtection="1">
      <alignment horizontal="center" vertical="center"/>
      <protection locked="0"/>
    </xf>
    <xf numFmtId="3" fontId="0" fillId="0" borderId="1" xfId="0" applyNumberFormat="1" applyFill="1" applyBorder="1" applyAlignment="1" applyProtection="1">
      <alignment horizontal="center" vertical="center"/>
      <protection locked="0"/>
    </xf>
    <xf numFmtId="3" fontId="0" fillId="0" borderId="71" xfId="0" applyNumberFormat="1" applyFill="1" applyBorder="1" applyAlignment="1" applyProtection="1">
      <alignment horizontal="center" vertical="center"/>
      <protection locked="0"/>
    </xf>
    <xf numFmtId="0" fontId="34" fillId="0" borderId="68" xfId="0" applyFont="1" applyFill="1" applyBorder="1" applyAlignment="1" applyProtection="1">
      <alignment horizontal="left" vertical="center" wrapText="1"/>
      <protection locked="0"/>
    </xf>
    <xf numFmtId="0" fontId="34" fillId="0" borderId="69" xfId="0" applyFont="1" applyFill="1" applyBorder="1" applyAlignment="1" applyProtection="1">
      <alignment horizontal="left" vertical="center" wrapText="1"/>
      <protection locked="0"/>
    </xf>
    <xf numFmtId="0" fontId="0" fillId="0" borderId="83" xfId="0" applyFill="1" applyBorder="1" applyAlignment="1" applyProtection="1">
      <alignment horizontal="left" vertical="center"/>
      <protection locked="0"/>
    </xf>
    <xf numFmtId="0" fontId="0" fillId="0" borderId="17" xfId="0" applyFill="1" applyBorder="1" applyAlignment="1" applyProtection="1">
      <alignment horizontal="left" vertical="center"/>
      <protection locked="0"/>
    </xf>
    <xf numFmtId="0" fontId="6" fillId="0" borderId="17" xfId="0" applyFont="1"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94" xfId="0" applyFill="1" applyBorder="1" applyAlignment="1" applyProtection="1">
      <alignment horizontal="left" vertical="center" wrapText="1"/>
      <protection locked="0"/>
    </xf>
    <xf numFmtId="0" fontId="6" fillId="0" borderId="73" xfId="0" applyFont="1" applyFill="1" applyBorder="1" applyAlignment="1" applyProtection="1">
      <alignment horizontal="left" vertical="center"/>
      <protection locked="0"/>
    </xf>
    <xf numFmtId="0" fontId="0" fillId="0" borderId="73" xfId="0" applyFill="1" applyBorder="1" applyAlignment="1" applyProtection="1">
      <alignment horizontal="left" vertical="center"/>
      <protection locked="0"/>
    </xf>
    <xf numFmtId="0" fontId="0" fillId="0" borderId="74" xfId="0" applyFill="1" applyBorder="1" applyAlignment="1" applyProtection="1">
      <alignment horizontal="left" vertical="center"/>
      <protection locked="0"/>
    </xf>
    <xf numFmtId="0" fontId="0" fillId="0" borderId="78" xfId="0" applyFill="1" applyBorder="1" applyAlignment="1" applyProtection="1">
      <alignment horizontal="left" vertical="center" wrapText="1"/>
      <protection locked="0"/>
    </xf>
    <xf numFmtId="0" fontId="0" fillId="0" borderId="79" xfId="0" applyFill="1" applyBorder="1" applyAlignment="1" applyProtection="1">
      <alignment horizontal="left" vertical="center" wrapText="1"/>
      <protection locked="0"/>
    </xf>
    <xf numFmtId="0" fontId="6" fillId="0" borderId="80" xfId="0" applyFont="1" applyFill="1" applyBorder="1" applyAlignment="1" applyProtection="1">
      <alignment horizontal="center" vertical="center" wrapText="1"/>
      <protection locked="0"/>
    </xf>
    <xf numFmtId="0" fontId="6" fillId="0" borderId="22" xfId="0" applyFont="1" applyFill="1" applyBorder="1" applyAlignment="1" applyProtection="1">
      <alignment horizontal="center" vertical="center" wrapText="1"/>
      <protection locked="0"/>
    </xf>
    <xf numFmtId="0" fontId="6" fillId="0" borderId="81" xfId="0" applyFont="1" applyFill="1" applyBorder="1" applyAlignment="1" applyProtection="1">
      <alignment horizontal="center" vertical="center" wrapText="1"/>
      <protection locked="0"/>
    </xf>
    <xf numFmtId="0" fontId="65" fillId="0" borderId="84" xfId="0" applyFont="1" applyFill="1" applyBorder="1" applyAlignment="1" applyProtection="1">
      <alignment horizontal="center" vertical="center"/>
      <protection locked="0"/>
    </xf>
    <xf numFmtId="0" fontId="65" fillId="0" borderId="85" xfId="0" applyFont="1" applyFill="1" applyBorder="1" applyAlignment="1" applyProtection="1">
      <alignment horizontal="center" vertical="center"/>
      <protection locked="0"/>
    </xf>
    <xf numFmtId="0" fontId="65" fillId="0" borderId="86" xfId="0" applyFont="1" applyFill="1" applyBorder="1" applyAlignment="1" applyProtection="1">
      <alignment horizontal="center" vertical="center"/>
      <protection locked="0"/>
    </xf>
    <xf numFmtId="3" fontId="52" fillId="0" borderId="0" xfId="0" applyNumberFormat="1" applyFont="1" applyAlignment="1">
      <alignment horizontal="center"/>
    </xf>
    <xf numFmtId="0" fontId="6" fillId="0" borderId="0" xfId="0" applyFont="1" applyAlignment="1">
      <alignment horizontal="center" vertical="center"/>
    </xf>
    <xf numFmtId="0" fontId="33" fillId="0" borderId="0" xfId="0" applyFont="1" applyAlignment="1">
      <alignment horizontal="left" vertical="center" wrapText="1" indent="1"/>
    </xf>
    <xf numFmtId="0" fontId="80" fillId="0" borderId="0" xfId="0" applyFont="1" applyAlignment="1">
      <alignment horizontal="center" vertical="top" wrapText="1"/>
    </xf>
    <xf numFmtId="0" fontId="65" fillId="0" borderId="0" xfId="0" applyFont="1" applyAlignment="1">
      <alignment horizontal="left" vertical="top" indent="1"/>
    </xf>
    <xf numFmtId="0" fontId="7" fillId="0" borderId="22" xfId="0" applyFont="1" applyBorder="1" applyAlignment="1">
      <alignment horizontal="left" vertical="center" wrapText="1"/>
    </xf>
    <xf numFmtId="0" fontId="6" fillId="0" borderId="0" xfId="0" applyFont="1" applyAlignment="1">
      <alignment horizontal="center" vertical="center" wrapText="1"/>
    </xf>
    <xf numFmtId="0" fontId="20" fillId="0" borderId="17" xfId="0" applyFont="1" applyBorder="1" applyAlignment="1">
      <alignment horizontal="justify" vertical="top" wrapText="1"/>
    </xf>
    <xf numFmtId="0" fontId="20" fillId="0" borderId="19" xfId="0" applyFont="1" applyBorder="1" applyAlignment="1">
      <alignment horizontal="justify" vertical="top" wrapText="1"/>
    </xf>
    <xf numFmtId="0" fontId="29" fillId="0" borderId="36" xfId="3" applyFont="1" applyBorder="1" applyAlignment="1">
      <alignment horizontal="left" wrapText="1"/>
    </xf>
    <xf numFmtId="0" fontId="29" fillId="0" borderId="1" xfId="3" applyFont="1" applyBorder="1" applyAlignment="1">
      <alignment horizontal="left" wrapText="1"/>
    </xf>
    <xf numFmtId="0" fontId="29" fillId="21" borderId="42" xfId="3" applyFont="1" applyFill="1" applyBorder="1" applyAlignment="1">
      <alignment horizontal="center" vertical="center" wrapText="1"/>
    </xf>
    <xf numFmtId="0" fontId="29" fillId="21" borderId="43" xfId="3" applyFont="1" applyFill="1" applyBorder="1" applyAlignment="1">
      <alignment horizontal="center" vertical="center" wrapText="1"/>
    </xf>
    <xf numFmtId="0" fontId="29" fillId="21" borderId="40" xfId="3" applyFont="1" applyFill="1" applyBorder="1" applyAlignment="1">
      <alignment horizontal="center" vertical="center" wrapText="1"/>
    </xf>
    <xf numFmtId="0" fontId="29" fillId="21" borderId="22" xfId="3" applyFont="1" applyFill="1" applyBorder="1" applyAlignment="1">
      <alignment horizontal="center" vertical="center" wrapText="1"/>
    </xf>
    <xf numFmtId="0" fontId="29" fillId="0" borderId="26" xfId="3" applyFont="1" applyBorder="1" applyAlignment="1">
      <alignment horizontal="center" vertical="center" wrapText="1"/>
    </xf>
    <xf numFmtId="0" fontId="29" fillId="0" borderId="27" xfId="3" applyFont="1" applyBorder="1" applyAlignment="1">
      <alignment horizontal="center" vertical="center" wrapText="1"/>
    </xf>
    <xf numFmtId="0" fontId="29" fillId="17" borderId="43" xfId="3" applyFont="1" applyFill="1" applyBorder="1" applyAlignment="1">
      <alignment horizontal="left" vertical="center" wrapText="1"/>
    </xf>
    <xf numFmtId="0" fontId="29" fillId="17" borderId="22" xfId="3" applyFont="1" applyFill="1" applyBorder="1" applyAlignment="1">
      <alignment horizontal="left" vertical="center" wrapText="1"/>
    </xf>
    <xf numFmtId="0" fontId="5" fillId="0" borderId="36" xfId="3" applyBorder="1" applyAlignment="1">
      <alignment horizontal="left" wrapText="1"/>
    </xf>
    <xf numFmtId="0" fontId="5" fillId="0" borderId="1" xfId="3" applyBorder="1" applyAlignment="1">
      <alignment horizontal="left" wrapText="1"/>
    </xf>
    <xf numFmtId="0" fontId="29" fillId="17" borderId="17" xfId="3" applyFont="1" applyFill="1" applyBorder="1" applyAlignment="1">
      <alignment horizontal="center" vertical="center" wrapText="1"/>
    </xf>
    <xf numFmtId="0" fontId="29" fillId="17" borderId="19" xfId="3" applyFont="1" applyFill="1" applyBorder="1" applyAlignment="1">
      <alignment horizontal="center" vertical="center" wrapText="1"/>
    </xf>
    <xf numFmtId="0" fontId="28" fillId="0" borderId="47" xfId="3" applyFont="1" applyBorder="1" applyAlignment="1">
      <alignment horizontal="center" vertical="center" wrapText="1"/>
    </xf>
    <xf numFmtId="0" fontId="28" fillId="0" borderId="48" xfId="3" applyFont="1" applyBorder="1" applyAlignment="1">
      <alignment horizontal="center" vertical="center" wrapText="1"/>
    </xf>
    <xf numFmtId="0" fontId="28" fillId="0" borderId="39" xfId="3" applyFont="1" applyBorder="1" applyAlignment="1">
      <alignment horizontal="center" vertical="center" wrapText="1"/>
    </xf>
    <xf numFmtId="0" fontId="29" fillId="0" borderId="34" xfId="3" applyFont="1" applyBorder="1" applyAlignment="1">
      <alignment horizontal="left" wrapText="1"/>
    </xf>
    <xf numFmtId="0" fontId="29" fillId="0" borderId="19" xfId="3" applyFont="1" applyBorder="1" applyAlignment="1">
      <alignment horizontal="left" wrapText="1"/>
    </xf>
    <xf numFmtId="0" fontId="29" fillId="15" borderId="23" xfId="3" applyFont="1" applyFill="1" applyBorder="1" applyAlignment="1">
      <alignment horizontal="center" vertical="center" wrapText="1"/>
    </xf>
    <xf numFmtId="0" fontId="29" fillId="15" borderId="24" xfId="3" applyFont="1" applyFill="1" applyBorder="1" applyAlignment="1">
      <alignment horizontal="center" vertical="center" wrapText="1"/>
    </xf>
    <xf numFmtId="0" fontId="29" fillId="15" borderId="25" xfId="3" applyFont="1" applyFill="1" applyBorder="1" applyAlignment="1">
      <alignment horizontal="center" vertical="center" wrapText="1"/>
    </xf>
    <xf numFmtId="0" fontId="30" fillId="16" borderId="49" xfId="3" applyFont="1" applyFill="1" applyBorder="1" applyAlignment="1">
      <alignment horizontal="center" vertical="center" wrapText="1"/>
    </xf>
    <xf numFmtId="0" fontId="30" fillId="16" borderId="33" xfId="3" applyFont="1" applyFill="1" applyBorder="1" applyAlignment="1">
      <alignment horizontal="center" vertical="center" wrapText="1"/>
    </xf>
    <xf numFmtId="0" fontId="30" fillId="16" borderId="50" xfId="3" applyFont="1" applyFill="1" applyBorder="1" applyAlignment="1">
      <alignment horizontal="center" vertical="center" wrapText="1"/>
    </xf>
    <xf numFmtId="0" fontId="29" fillId="14" borderId="23" xfId="3" applyFont="1" applyFill="1" applyBorder="1" applyAlignment="1">
      <alignment horizontal="center" vertical="center" wrapText="1"/>
    </xf>
    <xf numFmtId="0" fontId="29" fillId="14" borderId="24" xfId="3" applyFont="1" applyFill="1" applyBorder="1" applyAlignment="1">
      <alignment horizontal="center" vertical="center" wrapText="1"/>
    </xf>
    <xf numFmtId="0" fontId="30" fillId="0" borderId="38" xfId="3" applyFont="1" applyBorder="1" applyAlignment="1">
      <alignment horizontal="left" wrapText="1"/>
    </xf>
    <xf numFmtId="0" fontId="30" fillId="0" borderId="29" xfId="3" applyFont="1" applyBorder="1" applyAlignment="1">
      <alignment horizontal="left" wrapText="1"/>
    </xf>
    <xf numFmtId="0" fontId="11" fillId="0" borderId="0" xfId="0" applyFont="1" applyAlignment="1">
      <alignment horizontal="center" vertical="top"/>
    </xf>
    <xf numFmtId="0" fontId="3" fillId="0" borderId="0" xfId="3" applyFont="1" applyAlignment="1">
      <alignment horizontal="left" wrapText="1"/>
    </xf>
    <xf numFmtId="0" fontId="5" fillId="0" borderId="0" xfId="3" applyAlignment="1">
      <alignment horizontal="left" wrapText="1"/>
    </xf>
    <xf numFmtId="168" fontId="0" fillId="0" borderId="17" xfId="1" applyFont="1" applyBorder="1" applyAlignment="1">
      <alignment horizontal="center" vertical="center"/>
    </xf>
    <xf numFmtId="168" fontId="0" fillId="0" borderId="18" xfId="1" applyFont="1" applyBorder="1" applyAlignment="1">
      <alignment horizontal="center" vertical="center"/>
    </xf>
    <xf numFmtId="168" fontId="0" fillId="0" borderId="19" xfId="1" applyFont="1" applyBorder="1" applyAlignment="1">
      <alignment horizontal="center" vertical="center"/>
    </xf>
    <xf numFmtId="169" fontId="0" fillId="0" borderId="17" xfId="0" applyNumberFormat="1" applyBorder="1" applyAlignment="1">
      <alignment horizontal="center" vertical="center"/>
    </xf>
    <xf numFmtId="169" fontId="0" fillId="0" borderId="18" xfId="0" applyNumberFormat="1" applyBorder="1" applyAlignment="1">
      <alignment horizontal="center" vertical="center"/>
    </xf>
    <xf numFmtId="169" fontId="0" fillId="0" borderId="19" xfId="0" applyNumberFormat="1" applyBorder="1" applyAlignment="1">
      <alignment horizontal="center" vertical="center"/>
    </xf>
    <xf numFmtId="0" fontId="49" fillId="3" borderId="18" xfId="0" applyFont="1" applyFill="1" applyBorder="1" applyAlignment="1">
      <alignment horizontal="center" vertical="center" wrapText="1"/>
    </xf>
    <xf numFmtId="0" fontId="49" fillId="3" borderId="19"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7"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19" xfId="0" applyFont="1" applyBorder="1" applyAlignment="1">
      <alignment horizontal="center" vertical="center" wrapText="1"/>
    </xf>
    <xf numFmtId="0" fontId="46" fillId="0" borderId="22" xfId="0" applyFont="1" applyBorder="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37" fontId="76" fillId="25" borderId="17" xfId="7" applyNumberFormat="1" applyFont="1" applyFill="1" applyBorder="1" applyAlignment="1">
      <alignment horizontal="center"/>
    </xf>
    <xf numFmtId="37" fontId="76" fillId="25" borderId="18" xfId="7" applyNumberFormat="1" applyFont="1" applyFill="1" applyBorder="1" applyAlignment="1">
      <alignment horizontal="center"/>
    </xf>
    <xf numFmtId="39" fontId="76" fillId="25" borderId="17" xfId="7" applyNumberFormat="1" applyFont="1" applyFill="1" applyBorder="1" applyAlignment="1">
      <alignment horizontal="center" wrapText="1"/>
    </xf>
    <xf numFmtId="39" fontId="76" fillId="25" borderId="18" xfId="7" applyNumberFormat="1" applyFont="1" applyFill="1" applyBorder="1" applyAlignment="1">
      <alignment horizontal="center" wrapText="1"/>
    </xf>
    <xf numFmtId="1" fontId="76" fillId="25" borderId="17" xfId="7" applyNumberFormat="1" applyFont="1" applyFill="1" applyBorder="1" applyAlignment="1">
      <alignment horizontal="center"/>
    </xf>
    <xf numFmtId="1" fontId="76" fillId="25" borderId="18" xfId="7" applyNumberFormat="1" applyFont="1" applyFill="1" applyBorder="1" applyAlignment="1">
      <alignment horizontal="center"/>
    </xf>
    <xf numFmtId="3" fontId="76" fillId="25" borderId="21" xfId="7" applyNumberFormat="1" applyFont="1" applyFill="1" applyBorder="1" applyAlignment="1">
      <alignment horizontal="center"/>
    </xf>
    <xf numFmtId="3" fontId="76" fillId="25" borderId="4" xfId="7" applyNumberFormat="1" applyFont="1" applyFill="1" applyBorder="1" applyAlignment="1">
      <alignment horizontal="center"/>
    </xf>
    <xf numFmtId="0" fontId="11" fillId="0" borderId="0" xfId="0" applyFont="1" applyAlignment="1">
      <alignment horizontal="left" vertical="top"/>
    </xf>
    <xf numFmtId="0" fontId="6" fillId="0" borderId="0" xfId="0" applyFont="1" applyAlignment="1">
      <alignment horizontal="justify" vertical="top" wrapText="1"/>
    </xf>
    <xf numFmtId="0" fontId="9" fillId="0" borderId="1" xfId="0" applyFont="1" applyBorder="1" applyAlignment="1">
      <alignment horizontal="center" vertical="center" wrapText="1"/>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36" fillId="0" borderId="21"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22" xfId="0" applyFont="1" applyBorder="1" applyAlignment="1">
      <alignment horizontal="center"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6" fillId="0" borderId="15" xfId="0" applyFont="1" applyBorder="1" applyAlignment="1">
      <alignment horizontal="center" vertical="center"/>
    </xf>
    <xf numFmtId="0" fontId="20" fillId="0" borderId="6" xfId="0" applyFont="1" applyBorder="1" applyAlignment="1">
      <alignment horizontal="left"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7" xfId="0" applyFont="1" applyBorder="1" applyAlignment="1">
      <alignment vertical="center" wrapText="1"/>
    </xf>
    <xf numFmtId="0" fontId="20" fillId="0" borderId="8" xfId="0" applyFont="1" applyBorder="1" applyAlignment="1">
      <alignment vertical="center" wrapText="1"/>
    </xf>
    <xf numFmtId="0" fontId="19" fillId="0" borderId="7" xfId="0" applyFont="1" applyBorder="1" applyAlignment="1">
      <alignment horizontal="left" vertical="center" wrapText="1"/>
    </xf>
    <xf numFmtId="0" fontId="19" fillId="0" borderId="10" xfId="0" applyFont="1" applyBorder="1" applyAlignment="1">
      <alignment horizontal="left" vertical="center" wrapText="1"/>
    </xf>
    <xf numFmtId="0" fontId="19" fillId="0" borderId="8" xfId="0" applyFont="1" applyBorder="1" applyAlignment="1">
      <alignment horizontal="left"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0" xfId="0" applyFont="1" applyAlignment="1">
      <alignment horizontal="left" vertical="center" wrapText="1"/>
    </xf>
    <xf numFmtId="0" fontId="19"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6" xfId="0" applyFont="1" applyBorder="1" applyAlignment="1">
      <alignment horizontal="left" vertical="center" wrapText="1"/>
    </xf>
    <xf numFmtId="0" fontId="19" fillId="0" borderId="0" xfId="0" applyFont="1" applyAlignment="1">
      <alignment horizontal="left" vertical="center"/>
    </xf>
    <xf numFmtId="0" fontId="19" fillId="0" borderId="13"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20" fillId="0" borderId="6" xfId="0" applyFont="1" applyBorder="1" applyAlignment="1">
      <alignment horizontal="left" vertical="center"/>
    </xf>
    <xf numFmtId="0" fontId="19" fillId="0" borderId="0" xfId="0" applyFont="1" applyAlignment="1">
      <alignment horizontal="center" vertical="center"/>
    </xf>
    <xf numFmtId="0" fontId="19" fillId="0" borderId="0" xfId="0" applyFont="1" applyAlignment="1">
      <alignment vertical="center"/>
    </xf>
    <xf numFmtId="0" fontId="19" fillId="0" borderId="7" xfId="0" applyFont="1" applyBorder="1" applyAlignment="1">
      <alignment horizontal="left" vertical="center"/>
    </xf>
    <xf numFmtId="0" fontId="19" fillId="0" borderId="10" xfId="0" applyFont="1" applyBorder="1" applyAlignment="1">
      <alignment horizontal="left" vertical="center"/>
    </xf>
    <xf numFmtId="0" fontId="19" fillId="0" borderId="8" xfId="0" applyFont="1" applyBorder="1" applyAlignment="1">
      <alignment horizontal="left" vertical="center"/>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9" fillId="3" borderId="17"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20" fillId="0" borderId="15" xfId="0" applyFont="1" applyBorder="1" applyAlignment="1">
      <alignment vertical="center" wrapText="1"/>
    </xf>
    <xf numFmtId="0" fontId="19" fillId="0" borderId="10"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6" xfId="0" applyFont="1" applyBorder="1" applyAlignment="1">
      <alignment horizontal="center" vertical="center" wrapText="1"/>
    </xf>
    <xf numFmtId="0" fontId="15" fillId="0" borderId="1" xfId="0" applyFont="1" applyBorder="1" applyAlignment="1">
      <alignment horizont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left" vertical="center" wrapText="1"/>
    </xf>
    <xf numFmtId="0" fontId="5" fillId="0" borderId="0" xfId="3" applyAlignment="1">
      <alignment horizontal="center" wrapText="1"/>
    </xf>
    <xf numFmtId="0" fontId="3" fillId="0" borderId="0" xfId="3" applyFont="1" applyAlignment="1">
      <alignment horizontal="center" wrapText="1"/>
    </xf>
    <xf numFmtId="0" fontId="43" fillId="0" borderId="0" xfId="0" applyFont="1" applyAlignment="1">
      <alignment horizontal="left" vertical="top" wrapText="1"/>
    </xf>
    <xf numFmtId="0" fontId="44" fillId="0" borderId="0" xfId="3" applyFont="1" applyAlignment="1">
      <alignment horizontal="center" vertical="center" wrapText="1"/>
    </xf>
    <xf numFmtId="0" fontId="27" fillId="0" borderId="0" xfId="3" applyFont="1" applyAlignment="1">
      <alignment horizontal="center" wrapText="1"/>
    </xf>
  </cellXfs>
  <cellStyles count="8">
    <cellStyle name="Hipervínculo" xfId="5" builtinId="8"/>
    <cellStyle name="Millares" xfId="1" builtinId="3"/>
    <cellStyle name="Millares [0]" xfId="6" builtinId="6"/>
    <cellStyle name="Moneda" xfId="4" builtinId="4"/>
    <cellStyle name="Normal" xfId="0" builtinId="0"/>
    <cellStyle name="Normal 2" xfId="3"/>
    <cellStyle name="Normal_FORMATO" xfId="7"/>
    <cellStyle name="Porcentaje" xfId="2" builtinId="5"/>
  </cellStyles>
  <dxfs count="8">
    <dxf>
      <font>
        <b val="0"/>
        <i val="0"/>
        <strike val="0"/>
        <condense val="0"/>
        <extend val="0"/>
        <outline val="0"/>
        <shadow val="0"/>
        <u val="none"/>
        <vertAlign val="baseline"/>
        <sz val="10"/>
        <color indexed="8"/>
        <name val="Verdana"/>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Verdana"/>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Verdana"/>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Verdana"/>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Verdana"/>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Verdana"/>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border>
    </dxf>
    <dxf>
      <font>
        <b/>
        <i val="0"/>
        <strike val="0"/>
        <condense val="0"/>
        <extend val="0"/>
        <outline val="0"/>
        <shadow val="0"/>
        <u val="none"/>
        <vertAlign val="baseline"/>
        <sz val="10"/>
        <color indexed="8"/>
        <name val="Verdana"/>
        <scheme val="none"/>
      </font>
      <fill>
        <patternFill patternType="solid">
          <fgColor indexed="64"/>
          <bgColor rgb="FF92D05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'VALOR DEL PROYECTO'!$N$4:$N$19</c:f>
            </c:numRef>
          </c:xVal>
          <c:yVal>
            <c:numRef>
              <c:f>'VALOR DEL PROYECTO'!$O$4:$O$19</c:f>
            </c:numRef>
          </c:yVal>
          <c:smooth val="0"/>
          <c:extLst>
            <c:ext xmlns:c16="http://schemas.microsoft.com/office/drawing/2014/chart" uri="{C3380CC4-5D6E-409C-BE32-E72D297353CC}">
              <c16:uniqueId val="{00000000-1298-4CBD-967F-FA71730C8297}"/>
            </c:ext>
          </c:extLst>
        </c:ser>
        <c:dLbls>
          <c:showLegendKey val="0"/>
          <c:showVal val="0"/>
          <c:showCatName val="0"/>
          <c:showSerName val="0"/>
          <c:showPercent val="0"/>
          <c:showBubbleSize val="0"/>
        </c:dLbls>
        <c:axId val="293455600"/>
        <c:axId val="293448152"/>
      </c:scatterChart>
      <c:valAx>
        <c:axId val="293455600"/>
        <c:scaling>
          <c:orientation val="minMax"/>
        </c:scaling>
        <c:delete val="0"/>
        <c:axPos val="b"/>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3448152"/>
        <c:crosses val="autoZero"/>
        <c:crossBetween val="midCat"/>
      </c:valAx>
      <c:valAx>
        <c:axId val="29344815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34556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254000</xdr:colOff>
      <xdr:row>0</xdr:row>
      <xdr:rowOff>0</xdr:rowOff>
    </xdr:from>
    <xdr:to>
      <xdr:col>1</xdr:col>
      <xdr:colOff>603250</xdr:colOff>
      <xdr:row>2</xdr:row>
      <xdr:rowOff>330200</xdr:rowOff>
    </xdr:to>
    <xdr:pic>
      <xdr:nvPicPr>
        <xdr:cNvPr id="4" name="Imagen 3">
          <a:extLst>
            <a:ext uri="{FF2B5EF4-FFF2-40B4-BE49-F238E27FC236}">
              <a16:creationId xmlns:a16="http://schemas.microsoft.com/office/drawing/2014/main" id="{96AD502C-8C4A-4A6B-A94A-DDEE2449FD68}"/>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54000" y="0"/>
          <a:ext cx="1987550" cy="787400"/>
        </a:xfrm>
        <a:prstGeom prst="rect">
          <a:avLst/>
        </a:prstGeom>
      </xdr:spPr>
    </xdr:pic>
    <xdr:clientData/>
  </xdr:twoCellAnchor>
  <xdr:twoCellAnchor editAs="oneCell">
    <xdr:from>
      <xdr:col>16</xdr:col>
      <xdr:colOff>10582</xdr:colOff>
      <xdr:row>45</xdr:row>
      <xdr:rowOff>159360</xdr:rowOff>
    </xdr:from>
    <xdr:to>
      <xdr:col>22</xdr:col>
      <xdr:colOff>130243</xdr:colOff>
      <xdr:row>52</xdr:row>
      <xdr:rowOff>287131</xdr:rowOff>
    </xdr:to>
    <xdr:pic>
      <xdr:nvPicPr>
        <xdr:cNvPr id="2" name="Imagen 1">
          <a:extLst>
            <a:ext uri="{FF2B5EF4-FFF2-40B4-BE49-F238E27FC236}">
              <a16:creationId xmlns:a16="http://schemas.microsoft.com/office/drawing/2014/main" id="{BCC1DD00-8548-4585-9116-194C6323B896}"/>
            </a:ext>
          </a:extLst>
        </xdr:cNvPr>
        <xdr:cNvPicPr>
          <a:picLocks noChangeAspect="1"/>
        </xdr:cNvPicPr>
      </xdr:nvPicPr>
      <xdr:blipFill>
        <a:blip xmlns:r="http://schemas.openxmlformats.org/officeDocument/2006/relationships" r:embed="rId2"/>
        <a:stretch>
          <a:fillRect/>
        </a:stretch>
      </xdr:blipFill>
      <xdr:spPr>
        <a:xfrm>
          <a:off x="9482665" y="8403777"/>
          <a:ext cx="4691661" cy="13501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800100</xdr:colOff>
      <xdr:row>2</xdr:row>
      <xdr:rowOff>190500</xdr:rowOff>
    </xdr:to>
    <xdr:pic>
      <xdr:nvPicPr>
        <xdr:cNvPr id="2" name="Imagen 1" descr="C:\Users\ccatano\AppData\Local\Microsoft\Windows\Temporary Internet Files\Content.Outlook\KB69WZOY\Logo PNG.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145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45244</xdr:colOff>
      <xdr:row>0</xdr:row>
      <xdr:rowOff>68580</xdr:rowOff>
    </xdr:from>
    <xdr:to>
      <xdr:col>0</xdr:col>
      <xdr:colOff>1875609</xdr:colOff>
      <xdr:row>0</xdr:row>
      <xdr:rowOff>868578</xdr:rowOff>
    </xdr:to>
    <xdr:pic>
      <xdr:nvPicPr>
        <xdr:cNvPr id="3" name="Imagen 2" descr="http://206.81.4.234/wp-content/uploads/2016/07/CORPOURABA_LOGO_300.png">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44" y="68580"/>
          <a:ext cx="1874996" cy="799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389282</xdr:colOff>
      <xdr:row>0</xdr:row>
      <xdr:rowOff>0</xdr:rowOff>
    </xdr:from>
    <xdr:to>
      <xdr:col>9</xdr:col>
      <xdr:colOff>563217</xdr:colOff>
      <xdr:row>18</xdr:row>
      <xdr:rowOff>148114</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31616" t="6443" r="13700" b="4245"/>
        <a:stretch/>
      </xdr:blipFill>
      <xdr:spPr>
        <a:xfrm>
          <a:off x="10262152" y="0"/>
          <a:ext cx="3578087" cy="32872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373451</xdr:colOff>
      <xdr:row>0</xdr:row>
      <xdr:rowOff>179896</xdr:rowOff>
    </xdr:from>
    <xdr:to>
      <xdr:col>1</xdr:col>
      <xdr:colOff>1730500</xdr:colOff>
      <xdr:row>4</xdr:row>
      <xdr:rowOff>151322</xdr:rowOff>
    </xdr:to>
    <xdr:pic>
      <xdr:nvPicPr>
        <xdr:cNvPr id="2" name="Imagen 1" descr="nuevo Logo 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451" y="179896"/>
          <a:ext cx="2119049" cy="1057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7621</xdr:colOff>
      <xdr:row>0</xdr:row>
      <xdr:rowOff>1</xdr:rowOff>
    </xdr:from>
    <xdr:to>
      <xdr:col>31</xdr:col>
      <xdr:colOff>4346</xdr:colOff>
      <xdr:row>9</xdr:row>
      <xdr:rowOff>60086</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846821" y="1"/>
          <a:ext cx="4759226" cy="3718560"/>
        </a:xfrm>
        <a:prstGeom prst="rect">
          <a:avLst/>
        </a:prstGeom>
      </xdr:spPr>
    </xdr:pic>
    <xdr:clientData/>
  </xdr:twoCellAnchor>
  <xdr:twoCellAnchor>
    <xdr:from>
      <xdr:col>15</xdr:col>
      <xdr:colOff>160020</xdr:colOff>
      <xdr:row>2</xdr:row>
      <xdr:rowOff>118110</xdr:rowOff>
    </xdr:from>
    <xdr:to>
      <xdr:col>23</xdr:col>
      <xdr:colOff>685800</xdr:colOff>
      <xdr:row>12</xdr:row>
      <xdr:rowOff>434340</xdr:rowOff>
    </xdr:to>
    <xdr:graphicFrame macro="">
      <xdr:nvGraphicFramePr>
        <xdr:cNvPr id="4" name="Gráfico 3">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aujo\AppData\Local\Microsoft\Windows\Temporary%20Internet%20Files\Content.Outlook\7Z4Y76QI\D-FC-01%20Lista%20de%20Tarifa%20de%20Servicios%20marzo%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
      <sheetName val="2018"/>
    </sheetNames>
    <sheetDataSet>
      <sheetData sheetId="0">
        <row r="8">
          <cell r="B8">
            <v>67300</v>
          </cell>
          <cell r="C8">
            <v>561500</v>
          </cell>
        </row>
        <row r="9">
          <cell r="B9">
            <v>67300</v>
          </cell>
          <cell r="C9">
            <v>561500</v>
          </cell>
        </row>
        <row r="10">
          <cell r="B10">
            <v>67300</v>
          </cell>
          <cell r="C10">
            <v>561500</v>
          </cell>
        </row>
        <row r="11">
          <cell r="B11">
            <v>67300</v>
          </cell>
          <cell r="C11">
            <v>561500</v>
          </cell>
        </row>
        <row r="12">
          <cell r="B12">
            <v>67300</v>
          </cell>
          <cell r="C12">
            <v>561500</v>
          </cell>
        </row>
        <row r="16">
          <cell r="B16">
            <v>67300</v>
          </cell>
          <cell r="C16">
            <v>224700</v>
          </cell>
        </row>
        <row r="17">
          <cell r="B17">
            <v>67300</v>
          </cell>
        </row>
        <row r="18">
          <cell r="B18">
            <v>67300</v>
          </cell>
        </row>
        <row r="19">
          <cell r="B19">
            <v>67300</v>
          </cell>
          <cell r="C19">
            <v>157300</v>
          </cell>
        </row>
        <row r="23">
          <cell r="B23">
            <v>179800</v>
          </cell>
        </row>
        <row r="24">
          <cell r="B24">
            <v>67300</v>
          </cell>
          <cell r="C24">
            <v>561500</v>
          </cell>
        </row>
        <row r="29">
          <cell r="B29">
            <v>0</v>
          </cell>
        </row>
        <row r="30">
          <cell r="B30">
            <v>67300</v>
          </cell>
          <cell r="C30">
            <v>561500</v>
          </cell>
        </row>
        <row r="32">
          <cell r="C32">
            <v>157300</v>
          </cell>
        </row>
        <row r="33">
          <cell r="B33">
            <v>67300</v>
          </cell>
          <cell r="C33">
            <v>561500</v>
          </cell>
        </row>
        <row r="34">
          <cell r="B34">
            <v>67300</v>
          </cell>
        </row>
        <row r="35">
          <cell r="B35">
            <v>67300</v>
          </cell>
          <cell r="C35">
            <v>561500</v>
          </cell>
        </row>
        <row r="40">
          <cell r="B40">
            <v>0</v>
          </cell>
        </row>
        <row r="41">
          <cell r="B41">
            <v>0</v>
          </cell>
        </row>
        <row r="42">
          <cell r="B42">
            <v>0</v>
          </cell>
          <cell r="C42">
            <v>157300</v>
          </cell>
        </row>
        <row r="49">
          <cell r="D49">
            <v>7600</v>
          </cell>
        </row>
        <row r="50">
          <cell r="D50">
            <v>18100</v>
          </cell>
        </row>
        <row r="51">
          <cell r="D51">
            <v>23300</v>
          </cell>
        </row>
        <row r="52">
          <cell r="D52">
            <v>32700</v>
          </cell>
        </row>
        <row r="53">
          <cell r="D53">
            <v>32700</v>
          </cell>
        </row>
      </sheetData>
      <sheetData sheetId="1">
        <row r="8">
          <cell r="J8">
            <v>4.0899999999999999E-2</v>
          </cell>
        </row>
      </sheetData>
    </sheetDataSet>
  </externalBook>
</externalLink>
</file>

<file path=xl/tables/table1.xml><?xml version="1.0" encoding="utf-8"?>
<table xmlns="http://schemas.openxmlformats.org/spreadsheetml/2006/main" id="2" name="Tabla2" displayName="Tabla2" ref="A2:G19" totalsRowShown="0" headerRowDxfId="7" tableBorderDxfId="6">
  <autoFilter ref="A2:G19"/>
  <tableColumns count="7">
    <tableColumn id="1" name="DENOMINACION" dataDxfId="5"/>
    <tableColumn id="2" name="NIVEL" dataDxfId="4"/>
    <tableColumn id="3" name="GRADO" dataDxfId="3"/>
    <tableColumn id="4" name="Honorarios CORPOURABA" dataDxfId="2"/>
    <tableColumn id="5" name="Vr hora" dataDxfId="1">
      <calculatedColumnFormula>D3/30/8</calculatedColumnFormula>
    </tableColumn>
    <tableColumn id="6" name="Experiencia_x000a_ (en meses)"/>
    <tableColumn id="7" name="MADS" dataDxfId="0"/>
  </tableColumns>
  <tableStyleInfo name="TableStyleMedium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0"/>
  <sheetViews>
    <sheetView tabSelected="1" zoomScale="120" zoomScaleNormal="120" workbookViewId="0">
      <selection activeCell="A53" sqref="A53:I54"/>
    </sheetView>
  </sheetViews>
  <sheetFormatPr baseColWidth="10" defaultColWidth="11.42578125" defaultRowHeight="12.75" x14ac:dyDescent="0.2"/>
  <cols>
    <col min="1" max="1" width="23.85546875" style="272" customWidth="1"/>
    <col min="2" max="2" width="13" style="305" customWidth="1"/>
    <col min="3" max="3" width="4.28515625" style="272" customWidth="1"/>
    <col min="4" max="4" width="6.140625" style="272" customWidth="1"/>
    <col min="5" max="5" width="17.42578125" style="272" customWidth="1"/>
    <col min="6" max="6" width="11.42578125" style="272" customWidth="1"/>
    <col min="7" max="7" width="8.42578125" style="272" bestFit="1" customWidth="1"/>
    <col min="8" max="8" width="6.140625" style="272" customWidth="1"/>
    <col min="9" max="9" width="8.28515625" style="272" customWidth="1"/>
    <col min="10" max="10" width="7.5703125" style="272" customWidth="1"/>
    <col min="11" max="11" width="9" style="272" customWidth="1"/>
    <col min="12" max="12" width="10.85546875" style="272" customWidth="1"/>
    <col min="13" max="13" width="14.7109375" style="272" customWidth="1"/>
    <col min="14" max="14" width="0.85546875" style="272" customWidth="1"/>
    <col min="15" max="15" width="2.28515625" style="272" customWidth="1"/>
    <col min="16" max="16" width="3" style="272" customWidth="1"/>
    <col min="17" max="17" width="11.42578125" style="321"/>
    <col min="18" max="16384" width="11.42578125" style="272"/>
  </cols>
  <sheetData>
    <row r="1" spans="1:17" s="271" customFormat="1" ht="18" customHeight="1" x14ac:dyDescent="0.2">
      <c r="A1" s="379"/>
      <c r="B1" s="379"/>
      <c r="C1" s="350" t="s">
        <v>612</v>
      </c>
      <c r="D1" s="351"/>
      <c r="E1" s="352"/>
      <c r="F1" s="352"/>
      <c r="G1" s="353"/>
      <c r="H1" s="353"/>
      <c r="I1" s="353"/>
      <c r="J1" s="353"/>
      <c r="K1" s="353"/>
      <c r="L1" s="353"/>
      <c r="M1" s="353"/>
      <c r="Q1" s="320"/>
    </row>
    <row r="2" spans="1:17" s="271" customFormat="1" ht="18" customHeight="1" x14ac:dyDescent="0.2">
      <c r="A2" s="379"/>
      <c r="B2" s="379"/>
      <c r="C2" s="350" t="s">
        <v>655</v>
      </c>
      <c r="D2" s="351"/>
      <c r="E2" s="352"/>
      <c r="F2" s="352"/>
      <c r="G2" s="353"/>
      <c r="H2" s="353"/>
      <c r="I2" s="353"/>
      <c r="J2" s="353"/>
      <c r="K2" s="353"/>
      <c r="L2" s="353"/>
      <c r="M2" s="353"/>
      <c r="Q2" s="320"/>
    </row>
    <row r="3" spans="1:17" s="271" customFormat="1" ht="28.15" customHeight="1" thickBot="1" x14ac:dyDescent="0.25">
      <c r="A3" s="379"/>
      <c r="B3" s="379"/>
      <c r="C3" s="354" t="s">
        <v>692</v>
      </c>
      <c r="D3" s="352"/>
      <c r="E3" s="352"/>
      <c r="F3" s="352"/>
      <c r="G3" s="353"/>
      <c r="H3" s="353"/>
      <c r="I3" s="353"/>
      <c r="J3" s="353"/>
      <c r="K3" s="353"/>
      <c r="L3" s="353"/>
      <c r="M3" s="353"/>
      <c r="Q3" s="320"/>
    </row>
    <row r="4" spans="1:17" ht="19.5" customHeight="1" thickBot="1" x14ac:dyDescent="0.25">
      <c r="A4" s="355" t="s">
        <v>686</v>
      </c>
      <c r="B4" s="451"/>
      <c r="C4" s="451"/>
      <c r="D4" s="451"/>
      <c r="E4" s="451"/>
      <c r="F4" s="452"/>
      <c r="G4" s="473" t="s">
        <v>691</v>
      </c>
      <c r="H4" s="474"/>
      <c r="I4" s="474"/>
      <c r="J4" s="474"/>
      <c r="K4" s="474"/>
      <c r="L4" s="474"/>
      <c r="M4" s="475"/>
    </row>
    <row r="5" spans="1:17" ht="25.9" customHeight="1" x14ac:dyDescent="0.2">
      <c r="A5" s="356" t="s">
        <v>552</v>
      </c>
      <c r="B5" s="449"/>
      <c r="C5" s="449"/>
      <c r="D5" s="449"/>
      <c r="E5" s="449"/>
      <c r="F5" s="450"/>
      <c r="G5" s="468" t="s">
        <v>687</v>
      </c>
      <c r="H5" s="469"/>
      <c r="I5" s="470"/>
      <c r="J5" s="471"/>
      <c r="K5" s="471"/>
      <c r="L5" s="471"/>
      <c r="M5" s="472"/>
    </row>
    <row r="6" spans="1:17" ht="13.5" thickBot="1" x14ac:dyDescent="0.25">
      <c r="A6" s="357" t="s">
        <v>553</v>
      </c>
      <c r="B6" s="465"/>
      <c r="C6" s="466"/>
      <c r="D6" s="466"/>
      <c r="E6" s="466"/>
      <c r="F6" s="467"/>
      <c r="G6" s="453" t="s">
        <v>574</v>
      </c>
      <c r="H6" s="454"/>
      <c r="I6" s="455"/>
      <c r="J6" s="456"/>
      <c r="K6" s="456"/>
      <c r="L6" s="456"/>
      <c r="M6" s="457"/>
      <c r="O6" s="273"/>
      <c r="Q6" s="322"/>
    </row>
    <row r="7" spans="1:17" ht="14.25" customHeight="1" thickBot="1" x14ac:dyDescent="0.25">
      <c r="A7" s="358" t="s">
        <v>554</v>
      </c>
      <c r="B7" s="458"/>
      <c r="C7" s="458"/>
      <c r="D7" s="458"/>
      <c r="E7" s="458"/>
      <c r="F7" s="459"/>
      <c r="G7" s="460" t="s">
        <v>555</v>
      </c>
      <c r="H7" s="461"/>
      <c r="I7" s="462"/>
      <c r="J7" s="463"/>
      <c r="K7" s="463"/>
      <c r="L7" s="463"/>
      <c r="M7" s="464"/>
      <c r="O7" s="273"/>
    </row>
    <row r="8" spans="1:17" ht="14.25" customHeight="1" thickBot="1" x14ac:dyDescent="0.25">
      <c r="A8" s="359" t="s">
        <v>693</v>
      </c>
      <c r="B8" s="447"/>
      <c r="C8" s="447"/>
      <c r="D8" s="447"/>
      <c r="E8" s="447"/>
      <c r="F8" s="448"/>
      <c r="G8" s="435" t="s">
        <v>690</v>
      </c>
      <c r="H8" s="436"/>
      <c r="I8" s="436"/>
      <c r="J8" s="436"/>
      <c r="K8" s="436"/>
      <c r="L8" s="436"/>
      <c r="M8" s="437"/>
      <c r="O8" s="273"/>
      <c r="Q8" s="272"/>
    </row>
    <row r="9" spans="1:17" x14ac:dyDescent="0.2">
      <c r="A9" s="398" t="s">
        <v>556</v>
      </c>
      <c r="B9" s="360"/>
      <c r="C9" s="361"/>
      <c r="D9" s="361"/>
      <c r="E9" s="361"/>
      <c r="F9" s="362"/>
      <c r="G9" s="438" t="s">
        <v>689</v>
      </c>
      <c r="H9" s="439"/>
      <c r="I9" s="439"/>
      <c r="J9" s="440"/>
      <c r="K9" s="441"/>
      <c r="L9" s="442"/>
      <c r="M9" s="443"/>
      <c r="O9" s="274"/>
      <c r="Q9" s="272"/>
    </row>
    <row r="10" spans="1:17" ht="13.5" thickBot="1" x14ac:dyDescent="0.25">
      <c r="A10" s="399"/>
      <c r="B10" s="363"/>
      <c r="C10" s="364"/>
      <c r="D10" s="364"/>
      <c r="E10" s="364"/>
      <c r="F10" s="365"/>
      <c r="G10" s="400" t="s">
        <v>688</v>
      </c>
      <c r="H10" s="401"/>
      <c r="I10" s="401"/>
      <c r="J10" s="402"/>
      <c r="K10" s="444"/>
      <c r="L10" s="445"/>
      <c r="M10" s="446"/>
      <c r="Q10" s="272"/>
    </row>
    <row r="11" spans="1:17" ht="12.75" customHeight="1" x14ac:dyDescent="0.2">
      <c r="A11" s="419"/>
      <c r="B11" s="420"/>
      <c r="C11" s="420"/>
      <c r="D11" s="420"/>
      <c r="E11" s="420"/>
      <c r="F11" s="420"/>
      <c r="G11" s="420"/>
      <c r="H11" s="420"/>
      <c r="I11" s="420"/>
      <c r="J11" s="420"/>
      <c r="K11" s="420"/>
      <c r="L11" s="420"/>
      <c r="M11" s="421"/>
    </row>
    <row r="12" spans="1:17" ht="13.5" thickBot="1" x14ac:dyDescent="0.25">
      <c r="A12" s="422"/>
      <c r="B12" s="423"/>
      <c r="C12" s="423"/>
      <c r="D12" s="423"/>
      <c r="E12" s="423"/>
      <c r="F12" s="423"/>
      <c r="G12" s="423"/>
      <c r="H12" s="423"/>
      <c r="I12" s="423"/>
      <c r="J12" s="423"/>
      <c r="K12" s="423"/>
      <c r="L12" s="423"/>
      <c r="M12" s="424"/>
    </row>
    <row r="13" spans="1:17" ht="2.25" customHeight="1" thickBot="1" x14ac:dyDescent="0.25">
      <c r="A13" s="275"/>
      <c r="B13" s="303"/>
      <c r="C13" s="276"/>
      <c r="D13" s="276"/>
      <c r="E13" s="276"/>
      <c r="F13" s="276"/>
      <c r="G13" s="276"/>
      <c r="H13" s="276"/>
      <c r="I13" s="276"/>
      <c r="J13" s="276"/>
      <c r="K13" s="276"/>
      <c r="L13" s="276"/>
      <c r="M13" s="277"/>
    </row>
    <row r="14" spans="1:17" ht="13.5" thickBot="1" x14ac:dyDescent="0.25">
      <c r="A14" s="425" t="s">
        <v>557</v>
      </c>
      <c r="B14" s="426"/>
      <c r="C14" s="426"/>
      <c r="D14" s="426"/>
      <c r="E14" s="426"/>
      <c r="F14" s="426"/>
      <c r="G14" s="426"/>
      <c r="H14" s="426"/>
      <c r="I14" s="426"/>
      <c r="J14" s="426"/>
      <c r="K14" s="426"/>
      <c r="L14" s="426"/>
      <c r="M14" s="427"/>
    </row>
    <row r="15" spans="1:17" ht="13.5" thickBot="1" x14ac:dyDescent="0.25">
      <c r="A15" s="428" t="s">
        <v>558</v>
      </c>
      <c r="B15" s="429"/>
      <c r="C15" s="429"/>
      <c r="D15" s="429"/>
      <c r="E15" s="429"/>
      <c r="F15" s="429"/>
      <c r="G15" s="429"/>
      <c r="H15" s="429"/>
      <c r="I15" s="429"/>
      <c r="J15" s="429"/>
      <c r="K15" s="429"/>
      <c r="L15" s="429"/>
      <c r="M15" s="430"/>
    </row>
    <row r="16" spans="1:17" ht="85.5" customHeight="1" thickBot="1" x14ac:dyDescent="0.25">
      <c r="A16" s="253" t="s">
        <v>698</v>
      </c>
      <c r="B16" s="254" t="s">
        <v>585</v>
      </c>
      <c r="C16" s="255" t="s">
        <v>576</v>
      </c>
      <c r="D16" s="255" t="s">
        <v>575</v>
      </c>
      <c r="E16" s="256" t="s">
        <v>571</v>
      </c>
      <c r="F16" s="255" t="s">
        <v>430</v>
      </c>
      <c r="G16" s="255" t="s">
        <v>587</v>
      </c>
      <c r="H16" s="255" t="s">
        <v>559</v>
      </c>
      <c r="I16" s="255" t="s">
        <v>560</v>
      </c>
      <c r="J16" s="255" t="s">
        <v>561</v>
      </c>
      <c r="K16" s="257" t="s">
        <v>562</v>
      </c>
      <c r="L16" s="256" t="s">
        <v>588</v>
      </c>
      <c r="M16" s="256" t="s">
        <v>589</v>
      </c>
      <c r="O16" s="278"/>
    </row>
    <row r="17" spans="1:17" s="317" customFormat="1" ht="13.5" thickBot="1" x14ac:dyDescent="0.25">
      <c r="A17" s="309"/>
      <c r="B17" s="311"/>
      <c r="C17" s="312"/>
      <c r="D17" s="312"/>
      <c r="E17" s="313">
        <f>IFERROR(SUMIFS('Tabla Honorarios 2023'!$G$3:$G$19,'Tabla Honorarios 2023'!$A$3:$A$19,' R-FC-88'!A17,'Tabla Honorarios 2023'!$C$3:$C$19,' R-FC-88'!C17),0)</f>
        <v>0</v>
      </c>
      <c r="F17" s="314">
        <f t="shared" ref="F17:F43" si="0">IFERROR((J17/D17)/30,0)</f>
        <v>0</v>
      </c>
      <c r="G17" s="315"/>
      <c r="H17" s="315"/>
      <c r="I17" s="315"/>
      <c r="J17" s="349">
        <f t="shared" ref="J17:J28" si="1">(G17*H17)+I17</f>
        <v>0</v>
      </c>
      <c r="K17" s="313">
        <f>IFERROR(IF(G17&gt;0,VLOOKUP(CONCATENATE(A17,C17),TablaViaticos2021!$A$26:$E$40,5),0),0)</f>
        <v>0</v>
      </c>
      <c r="L17" s="313">
        <f t="shared" ref="L17" si="2">(G17*H17*D17)*K17</f>
        <v>0</v>
      </c>
      <c r="M17" s="313">
        <f>((E17*D17/30))*J17+L17</f>
        <v>0</v>
      </c>
      <c r="O17" s="318"/>
      <c r="Q17" s="323" t="s">
        <v>675</v>
      </c>
    </row>
    <row r="18" spans="1:17" s="317" customFormat="1" ht="23.25" thickBot="1" x14ac:dyDescent="0.25">
      <c r="A18" s="309"/>
      <c r="B18" s="311"/>
      <c r="C18" s="312"/>
      <c r="D18" s="312"/>
      <c r="E18" s="313">
        <f>IFERROR(SUMIFS('Tabla Honorarios 2023'!$G$3:$G$19,'Tabla Honorarios 2023'!$A$3:$A$19,' R-FC-88'!A18,'Tabla Honorarios 2023'!$C$3:$C$19,' R-FC-88'!C18),0)</f>
        <v>0</v>
      </c>
      <c r="F18" s="319">
        <f t="shared" ref="F18" si="3">IFERROR((J18/D18)/30,0)</f>
        <v>0</v>
      </c>
      <c r="G18" s="315"/>
      <c r="H18" s="315"/>
      <c r="I18" s="315"/>
      <c r="J18" s="349">
        <f t="shared" si="1"/>
        <v>0</v>
      </c>
      <c r="K18" s="313">
        <v>0</v>
      </c>
      <c r="L18" s="313">
        <f t="shared" ref="L18" si="4">(G18*H18*D18)*K18</f>
        <v>0</v>
      </c>
      <c r="M18" s="313">
        <f t="shared" ref="M18:M26" si="5">((E18*D18/30))*J18+L18</f>
        <v>0</v>
      </c>
      <c r="O18" s="318"/>
      <c r="Q18" s="323" t="s">
        <v>676</v>
      </c>
    </row>
    <row r="19" spans="1:17" s="317" customFormat="1" ht="23.25" thickBot="1" x14ac:dyDescent="0.25">
      <c r="A19" s="309"/>
      <c r="B19" s="311"/>
      <c r="C19" s="312"/>
      <c r="D19" s="312"/>
      <c r="E19" s="313">
        <f>IFERROR(SUMIFS('Tabla Honorarios 2023'!$G$3:$G$19,'Tabla Honorarios 2023'!$A$3:$A$19,' R-FC-88'!A19,'Tabla Honorarios 2023'!$C$3:$C$19,' R-FC-88'!C19),0)</f>
        <v>0</v>
      </c>
      <c r="F19" s="319">
        <f t="shared" si="0"/>
        <v>0</v>
      </c>
      <c r="G19" s="315"/>
      <c r="H19" s="315"/>
      <c r="I19" s="348"/>
      <c r="J19" s="349">
        <f t="shared" si="1"/>
        <v>0</v>
      </c>
      <c r="K19" s="313">
        <f>IFERROR(IF(G19&gt;0,VLOOKUP(CONCATENATE(A19,C19),TablaViaticos2021!$A$26:$E$40,5),0),0)</f>
        <v>0</v>
      </c>
      <c r="L19" s="313">
        <v>0</v>
      </c>
      <c r="M19" s="313">
        <f>((E19*D19/30))*J19+L19</f>
        <v>0</v>
      </c>
      <c r="O19" s="318"/>
      <c r="Q19" s="323" t="s">
        <v>677</v>
      </c>
    </row>
    <row r="20" spans="1:17" s="317" customFormat="1" ht="23.25" thickBot="1" x14ac:dyDescent="0.25">
      <c r="A20" s="309"/>
      <c r="B20" s="311"/>
      <c r="C20" s="312"/>
      <c r="D20" s="312"/>
      <c r="E20" s="313">
        <f>IFERROR(SUMIFS('Tabla Honorarios 2023'!$G$3:$G$19,'Tabla Honorarios 2023'!$A$3:$A$19,' R-FC-88'!A20,'Tabla Honorarios 2023'!$C$3:$C$19,' R-FC-88'!C20),0)</f>
        <v>0</v>
      </c>
      <c r="F20" s="319">
        <f t="shared" si="0"/>
        <v>0</v>
      </c>
      <c r="G20" s="315"/>
      <c r="H20" s="315"/>
      <c r="I20" s="315"/>
      <c r="J20" s="349">
        <f t="shared" si="1"/>
        <v>0</v>
      </c>
      <c r="K20" s="313">
        <f>IFERROR(IF(G20&gt;0,VLOOKUP(CONCATENATE(A20,C20),TablaViaticos2021!$A$26:$E$40,5),0),0)</f>
        <v>0</v>
      </c>
      <c r="L20" s="313">
        <f t="shared" ref="L20" si="6">(G20*H20*D20)*K20</f>
        <v>0</v>
      </c>
      <c r="M20" s="313">
        <f t="shared" si="5"/>
        <v>0</v>
      </c>
      <c r="O20" s="318"/>
      <c r="Q20" s="323" t="s">
        <v>678</v>
      </c>
    </row>
    <row r="21" spans="1:17" ht="34.5" thickBot="1" x14ac:dyDescent="0.25">
      <c r="A21" s="309"/>
      <c r="B21" s="311"/>
      <c r="C21" s="312"/>
      <c r="D21" s="312"/>
      <c r="E21" s="313">
        <f>IFERROR(SUMIFS('Tabla Honorarios 2023'!$G$3:$G$19,'Tabla Honorarios 2023'!$A$3:$A$19,' R-FC-88'!A21,'Tabla Honorarios 2023'!$C$3:$C$19,' R-FC-88'!C21),0)</f>
        <v>0</v>
      </c>
      <c r="F21" s="319">
        <f t="shared" si="0"/>
        <v>0</v>
      </c>
      <c r="G21" s="315"/>
      <c r="H21" s="315"/>
      <c r="I21" s="315"/>
      <c r="J21" s="349">
        <f t="shared" si="1"/>
        <v>0</v>
      </c>
      <c r="K21" s="313">
        <f>IFERROR(IF(G21&gt;0,VLOOKUP(CONCATENATE(A21,C21),TablaViaticos2021!$A$26:$E$40,5),0),0)</f>
        <v>0</v>
      </c>
      <c r="L21" s="313">
        <f t="shared" ref="L21:L22" si="7">(G21*H21*D21)*K21</f>
        <v>0</v>
      </c>
      <c r="M21" s="313">
        <f t="shared" si="5"/>
        <v>0</v>
      </c>
      <c r="O21" s="281"/>
      <c r="Q21" s="321" t="s">
        <v>679</v>
      </c>
    </row>
    <row r="22" spans="1:17" ht="34.5" thickBot="1" x14ac:dyDescent="0.25">
      <c r="A22" s="309"/>
      <c r="B22" s="311"/>
      <c r="C22" s="312"/>
      <c r="D22" s="312"/>
      <c r="E22" s="313">
        <f>IFERROR(SUMIFS('Tabla Honorarios 2023'!$G$3:$G$19,'Tabla Honorarios 2023'!$A$3:$A$19,' R-FC-88'!A22,'Tabla Honorarios 2023'!$C$3:$C$19,' R-FC-88'!C22),0)</f>
        <v>0</v>
      </c>
      <c r="F22" s="319">
        <f t="shared" si="0"/>
        <v>0</v>
      </c>
      <c r="G22" s="315"/>
      <c r="H22" s="315"/>
      <c r="I22" s="315"/>
      <c r="J22" s="349">
        <f t="shared" si="1"/>
        <v>0</v>
      </c>
      <c r="K22" s="313">
        <f>IFERROR(IF(G22&gt;0,VLOOKUP(CONCATENATE(A22,C22),TablaViaticos2021!$A$26:$E$40,5),0),0)</f>
        <v>0</v>
      </c>
      <c r="L22" s="313">
        <f t="shared" si="7"/>
        <v>0</v>
      </c>
      <c r="M22" s="313">
        <f t="shared" si="5"/>
        <v>0</v>
      </c>
      <c r="O22" s="281"/>
      <c r="P22" s="282"/>
      <c r="Q22" s="321" t="s">
        <v>680</v>
      </c>
    </row>
    <row r="23" spans="1:17" ht="23.25" thickBot="1" x14ac:dyDescent="0.25">
      <c r="A23" s="309"/>
      <c r="B23" s="311"/>
      <c r="C23" s="312"/>
      <c r="D23" s="312"/>
      <c r="E23" s="313">
        <f>IFERROR(SUMIFS('Tabla Honorarios 2023'!$G$3:$G$19,'Tabla Honorarios 2023'!$A$3:$A$19,' R-FC-88'!A23,'Tabla Honorarios 2023'!$C$3:$C$19,' R-FC-88'!C23),0)</f>
        <v>0</v>
      </c>
      <c r="F23" s="319">
        <f t="shared" si="0"/>
        <v>0</v>
      </c>
      <c r="G23" s="315"/>
      <c r="H23" s="315"/>
      <c r="I23" s="315"/>
      <c r="J23" s="349">
        <f t="shared" si="1"/>
        <v>0</v>
      </c>
      <c r="K23" s="313">
        <f>IFERROR(IF(G23&gt;0,VLOOKUP(CONCATENATE(A23,C23),TablaViaticos2021!$A$26:$E$40,5),0),0)</f>
        <v>0</v>
      </c>
      <c r="L23" s="313">
        <f t="shared" ref="L23:L43" si="8">(G23*H23*D23)*K23</f>
        <v>0</v>
      </c>
      <c r="M23" s="313">
        <f t="shared" si="5"/>
        <v>0</v>
      </c>
      <c r="P23" s="281"/>
      <c r="Q23" s="321" t="s">
        <v>681</v>
      </c>
    </row>
    <row r="24" spans="1:17" ht="34.5" thickBot="1" x14ac:dyDescent="0.25">
      <c r="A24" s="309"/>
      <c r="B24" s="311"/>
      <c r="C24" s="312"/>
      <c r="D24" s="312"/>
      <c r="E24" s="313">
        <f>IFERROR(SUMIFS('Tabla Honorarios 2023'!$G$3:$G$19,'Tabla Honorarios 2023'!$A$3:$A$19,' R-FC-88'!A24,'Tabla Honorarios 2023'!$C$3:$C$19,' R-FC-88'!C24),0)</f>
        <v>0</v>
      </c>
      <c r="F24" s="319">
        <f t="shared" si="0"/>
        <v>0</v>
      </c>
      <c r="G24" s="315"/>
      <c r="H24" s="315"/>
      <c r="I24" s="315"/>
      <c r="J24" s="349">
        <f t="shared" si="1"/>
        <v>0</v>
      </c>
      <c r="K24" s="313">
        <f>IFERROR(IF(G24&gt;0,VLOOKUP(CONCATENATE(A24,C24),TablaViaticos2021!$A$26:$E$40,5),0),0)</f>
        <v>0</v>
      </c>
      <c r="L24" s="313">
        <f t="shared" si="8"/>
        <v>0</v>
      </c>
      <c r="M24" s="313">
        <f t="shared" si="5"/>
        <v>0</v>
      </c>
      <c r="P24" s="281"/>
      <c r="Q24" s="321" t="s">
        <v>682</v>
      </c>
    </row>
    <row r="25" spans="1:17" ht="34.5" thickBot="1" x14ac:dyDescent="0.25">
      <c r="A25" s="309"/>
      <c r="B25" s="311"/>
      <c r="C25" s="312"/>
      <c r="D25" s="312"/>
      <c r="E25" s="313">
        <f>IFERROR(SUMIFS('Tabla Honorarios 2023'!$G$3:$G$19,'Tabla Honorarios 2023'!$A$3:$A$19,' R-FC-88'!A25,'Tabla Honorarios 2023'!$C$3:$C$19,' R-FC-88'!C25),0)</f>
        <v>0</v>
      </c>
      <c r="F25" s="319">
        <f t="shared" si="0"/>
        <v>0</v>
      </c>
      <c r="G25" s="315"/>
      <c r="H25" s="315"/>
      <c r="I25" s="315"/>
      <c r="J25" s="349">
        <f t="shared" si="1"/>
        <v>0</v>
      </c>
      <c r="K25" s="313">
        <f>IFERROR(IF(G25&gt;0,VLOOKUP(CONCATENATE(A25,C25),TablaViaticos2021!$A$26:$E$40,5),0),0)</f>
        <v>0</v>
      </c>
      <c r="L25" s="313">
        <f t="shared" si="8"/>
        <v>0</v>
      </c>
      <c r="M25" s="313">
        <f t="shared" si="5"/>
        <v>0</v>
      </c>
      <c r="Q25" s="321" t="s">
        <v>683</v>
      </c>
    </row>
    <row r="26" spans="1:17" ht="23.25" thickBot="1" x14ac:dyDescent="0.25">
      <c r="A26" s="309"/>
      <c r="B26" s="311"/>
      <c r="C26" s="312"/>
      <c r="D26" s="312"/>
      <c r="E26" s="313">
        <f>IFERROR(SUMIFS('Tabla Honorarios 2023'!$G$3:$G$19,'Tabla Honorarios 2023'!$A$3:$A$19,' R-FC-88'!A26,'Tabla Honorarios 2023'!$C$3:$C$19,' R-FC-88'!C26),0)</f>
        <v>0</v>
      </c>
      <c r="F26" s="319">
        <f t="shared" si="0"/>
        <v>0</v>
      </c>
      <c r="G26" s="315"/>
      <c r="H26" s="315"/>
      <c r="I26" s="315"/>
      <c r="J26" s="349">
        <f t="shared" si="1"/>
        <v>0</v>
      </c>
      <c r="K26" s="313">
        <f>IFERROR(IF(G26&gt;0,VLOOKUP(CONCATENATE(A26,C26),TablaViaticos2021!$A$26:$E$40,5),0),0)</f>
        <v>0</v>
      </c>
      <c r="L26" s="313">
        <f t="shared" si="8"/>
        <v>0</v>
      </c>
      <c r="M26" s="313">
        <f t="shared" si="5"/>
        <v>0</v>
      </c>
      <c r="Q26" s="321" t="s">
        <v>684</v>
      </c>
    </row>
    <row r="27" spans="1:17" ht="13.5" thickBot="1" x14ac:dyDescent="0.25">
      <c r="A27" s="265"/>
      <c r="B27" s="311"/>
      <c r="C27" s="266"/>
      <c r="D27" s="266"/>
      <c r="E27" s="258">
        <f>IFERROR(SUMIFS('Tabla Honorarios 2023'!$G$3:$G$19,'Tabla Honorarios 2023'!$A$3:$A$19,' R-FC-88'!A27,'Tabla Honorarios 2023'!$C$3:$C$19,' R-FC-88'!C27),0)</f>
        <v>0</v>
      </c>
      <c r="F27" s="259">
        <f t="shared" si="0"/>
        <v>0</v>
      </c>
      <c r="G27" s="264"/>
      <c r="H27" s="264"/>
      <c r="I27" s="264"/>
      <c r="J27" s="316">
        <f t="shared" si="1"/>
        <v>0</v>
      </c>
      <c r="K27" s="258">
        <f>IFERROR(IF(G27&gt;0,VLOOKUP(A27,TablaViaticos2021!$B$26:$E$40,4),0),0)</f>
        <v>0</v>
      </c>
      <c r="L27" s="258">
        <f t="shared" si="8"/>
        <v>0</v>
      </c>
      <c r="M27" s="258">
        <f t="shared" ref="M27:M43" si="9">((E27*D27/30))*I27+L27</f>
        <v>0</v>
      </c>
    </row>
    <row r="28" spans="1:17" ht="13.5" thickBot="1" x14ac:dyDescent="0.25">
      <c r="A28" s="265"/>
      <c r="B28" s="311"/>
      <c r="C28" s="266"/>
      <c r="D28" s="266"/>
      <c r="E28" s="258">
        <f>IFERROR(SUMIFS('Tabla Honorarios 2023'!$G$3:$G$19,'Tabla Honorarios 2023'!$A$3:$A$19,' R-FC-88'!A28,'Tabla Honorarios 2023'!$C$3:$C$19,' R-FC-88'!C28),0)</f>
        <v>0</v>
      </c>
      <c r="F28" s="259">
        <f t="shared" si="0"/>
        <v>0</v>
      </c>
      <c r="G28" s="264"/>
      <c r="H28" s="264"/>
      <c r="I28" s="264"/>
      <c r="J28" s="316">
        <f t="shared" si="1"/>
        <v>0</v>
      </c>
      <c r="K28" s="258">
        <f>IFERROR(IF(G28&gt;0,VLOOKUP(A28,TablaViaticos2021!$B$26:$E$40,4),0),0)</f>
        <v>0</v>
      </c>
      <c r="L28" s="258">
        <f t="shared" si="8"/>
        <v>0</v>
      </c>
      <c r="M28" s="258">
        <f t="shared" si="9"/>
        <v>0</v>
      </c>
    </row>
    <row r="29" spans="1:17" ht="13.5" hidden="1" thickBot="1" x14ac:dyDescent="0.25">
      <c r="A29" s="265"/>
      <c r="B29" s="311"/>
      <c r="C29" s="266"/>
      <c r="D29" s="266"/>
      <c r="E29" s="270">
        <f>IFERROR(SUMIFS('Tabla Honorarios 2023'!$G$3:$G$19,'Tabla Honorarios 2023'!$A$3:$A$19,' R-FC-88'!A29,'Tabla Honorarios 2023'!$C$3:$C$19,' R-FC-88'!C29),0)</f>
        <v>0</v>
      </c>
      <c r="F29" s="279">
        <f t="shared" si="0"/>
        <v>0</v>
      </c>
      <c r="G29" s="264"/>
      <c r="H29" s="264"/>
      <c r="I29" s="264"/>
      <c r="J29" s="280">
        <f t="shared" ref="J29:J43" si="10">(G29*H29)+I29</f>
        <v>0</v>
      </c>
      <c r="K29" s="270">
        <f>IFERROR(IF(G29&gt;0,VLOOKUP(A29,TablaViaticos2021!$B$26:$E$40,4),0),0)</f>
        <v>0</v>
      </c>
      <c r="L29" s="270">
        <f t="shared" si="8"/>
        <v>0</v>
      </c>
      <c r="M29" s="270">
        <f t="shared" si="9"/>
        <v>0</v>
      </c>
    </row>
    <row r="30" spans="1:17" ht="13.5" hidden="1" thickBot="1" x14ac:dyDescent="0.25">
      <c r="A30" s="265"/>
      <c r="B30" s="311"/>
      <c r="C30" s="266"/>
      <c r="D30" s="266"/>
      <c r="E30" s="270">
        <f>IFERROR(SUMIFS('Tabla Honorarios 2023'!$G$3:$G$19,'Tabla Honorarios 2023'!$A$3:$A$19,' R-FC-88'!A30,'Tabla Honorarios 2023'!$C$3:$C$19,' R-FC-88'!C30),0)</f>
        <v>0</v>
      </c>
      <c r="F30" s="279">
        <f t="shared" si="0"/>
        <v>0</v>
      </c>
      <c r="G30" s="264"/>
      <c r="H30" s="264"/>
      <c r="I30" s="264"/>
      <c r="J30" s="280">
        <f t="shared" si="10"/>
        <v>0</v>
      </c>
      <c r="K30" s="270">
        <f>IFERROR(IF(G30&gt;0,VLOOKUP(A30,TablaViaticos2021!$B$26:$E$40,4),0),0)</f>
        <v>0</v>
      </c>
      <c r="L30" s="270">
        <f t="shared" si="8"/>
        <v>0</v>
      </c>
      <c r="M30" s="270">
        <f t="shared" si="9"/>
        <v>0</v>
      </c>
    </row>
    <row r="31" spans="1:17" ht="13.5" hidden="1" thickBot="1" x14ac:dyDescent="0.25">
      <c r="A31" s="265"/>
      <c r="B31" s="311"/>
      <c r="C31" s="266"/>
      <c r="D31" s="266"/>
      <c r="E31" s="270">
        <f>IFERROR(SUMIFS('Tabla Honorarios 2023'!$G$3:$G$19,'Tabla Honorarios 2023'!$A$3:$A$19,' R-FC-88'!A31,'Tabla Honorarios 2023'!$C$3:$C$19,' R-FC-88'!C31),0)</f>
        <v>0</v>
      </c>
      <c r="F31" s="279">
        <f t="shared" si="0"/>
        <v>0</v>
      </c>
      <c r="G31" s="264"/>
      <c r="H31" s="264"/>
      <c r="I31" s="264"/>
      <c r="J31" s="280">
        <f t="shared" si="10"/>
        <v>0</v>
      </c>
      <c r="K31" s="270">
        <f>IFERROR(IF(G31&gt;0,VLOOKUP(A31,TablaViaticos2021!$B$26:$E$40,4),0),0)</f>
        <v>0</v>
      </c>
      <c r="L31" s="270">
        <f t="shared" si="8"/>
        <v>0</v>
      </c>
      <c r="M31" s="270">
        <f t="shared" si="9"/>
        <v>0</v>
      </c>
    </row>
    <row r="32" spans="1:17" ht="13.5" hidden="1" thickBot="1" x14ac:dyDescent="0.25">
      <c r="A32" s="265"/>
      <c r="B32" s="311"/>
      <c r="C32" s="266"/>
      <c r="D32" s="266"/>
      <c r="E32" s="270">
        <f>IFERROR(SUMIFS('Tabla Honorarios 2023'!$G$3:$G$19,'Tabla Honorarios 2023'!$A$3:$A$19,' R-FC-88'!A32,'Tabla Honorarios 2023'!$C$3:$C$19,' R-FC-88'!C32),0)</f>
        <v>0</v>
      </c>
      <c r="F32" s="279">
        <f t="shared" si="0"/>
        <v>0</v>
      </c>
      <c r="G32" s="264"/>
      <c r="H32" s="264"/>
      <c r="I32" s="264"/>
      <c r="J32" s="280">
        <f t="shared" si="10"/>
        <v>0</v>
      </c>
      <c r="K32" s="270">
        <f>IFERROR(IF(G32&gt;0,VLOOKUP(A32,TablaViaticos2021!$B$26:$E$40,4),0),0)</f>
        <v>0</v>
      </c>
      <c r="L32" s="270">
        <f t="shared" si="8"/>
        <v>0</v>
      </c>
      <c r="M32" s="270">
        <f t="shared" si="9"/>
        <v>0</v>
      </c>
    </row>
    <row r="33" spans="1:16" ht="13.5" hidden="1" thickBot="1" x14ac:dyDescent="0.25">
      <c r="A33" s="265"/>
      <c r="B33" s="311"/>
      <c r="C33" s="266"/>
      <c r="D33" s="266"/>
      <c r="E33" s="270">
        <f>IFERROR(SUMIFS('Tabla Honorarios 2023'!$G$3:$G$19,'Tabla Honorarios 2023'!$A$3:$A$19,' R-FC-88'!A33,'Tabla Honorarios 2023'!$C$3:$C$19,' R-FC-88'!C33),0)</f>
        <v>0</v>
      </c>
      <c r="F33" s="279">
        <f t="shared" si="0"/>
        <v>0</v>
      </c>
      <c r="G33" s="264"/>
      <c r="H33" s="264"/>
      <c r="I33" s="264"/>
      <c r="J33" s="280">
        <f t="shared" si="10"/>
        <v>0</v>
      </c>
      <c r="K33" s="270">
        <f>IFERROR(IF(G33&gt;0,VLOOKUP(A33,TablaViaticos2021!$B$26:$E$40,4),0),0)</f>
        <v>0</v>
      </c>
      <c r="L33" s="270">
        <f t="shared" si="8"/>
        <v>0</v>
      </c>
      <c r="M33" s="270">
        <f t="shared" si="9"/>
        <v>0</v>
      </c>
    </row>
    <row r="34" spans="1:16" ht="13.5" hidden="1" thickBot="1" x14ac:dyDescent="0.25">
      <c r="A34" s="265"/>
      <c r="B34" s="311"/>
      <c r="C34" s="266"/>
      <c r="D34" s="266"/>
      <c r="E34" s="270">
        <f>IFERROR(SUMIFS('Tabla Honorarios 2023'!$G$3:$G$19,'Tabla Honorarios 2023'!$A$3:$A$19,' R-FC-88'!A34,'Tabla Honorarios 2023'!$C$3:$C$19,' R-FC-88'!C34),0)</f>
        <v>0</v>
      </c>
      <c r="F34" s="279">
        <f t="shared" si="0"/>
        <v>0</v>
      </c>
      <c r="G34" s="264"/>
      <c r="H34" s="264"/>
      <c r="I34" s="264"/>
      <c r="J34" s="280">
        <f t="shared" si="10"/>
        <v>0</v>
      </c>
      <c r="K34" s="270">
        <f>IFERROR(IF(G34&gt;0,VLOOKUP(A34,TablaViaticos2021!$B$26:$E$40,4),0),0)</f>
        <v>0</v>
      </c>
      <c r="L34" s="270">
        <f t="shared" si="8"/>
        <v>0</v>
      </c>
      <c r="M34" s="270">
        <f t="shared" si="9"/>
        <v>0</v>
      </c>
    </row>
    <row r="35" spans="1:16" ht="13.5" hidden="1" thickBot="1" x14ac:dyDescent="0.25">
      <c r="A35" s="265"/>
      <c r="B35" s="311"/>
      <c r="C35" s="266"/>
      <c r="D35" s="266"/>
      <c r="E35" s="270">
        <f>IFERROR(SUMIFS('Tabla Honorarios 2023'!$G$3:$G$19,'Tabla Honorarios 2023'!$A$3:$A$19,' R-FC-88'!A35,'Tabla Honorarios 2023'!$C$3:$C$19,' R-FC-88'!C35),0)</f>
        <v>0</v>
      </c>
      <c r="F35" s="279">
        <f t="shared" si="0"/>
        <v>0</v>
      </c>
      <c r="G35" s="264"/>
      <c r="H35" s="264"/>
      <c r="I35" s="264"/>
      <c r="J35" s="280">
        <f t="shared" si="10"/>
        <v>0</v>
      </c>
      <c r="K35" s="270">
        <f>IFERROR(IF(G35&gt;0,VLOOKUP(A35,TablaViaticos2021!$B$26:$E$40,4),0),0)</f>
        <v>0</v>
      </c>
      <c r="L35" s="270">
        <f t="shared" si="8"/>
        <v>0</v>
      </c>
      <c r="M35" s="270">
        <f t="shared" si="9"/>
        <v>0</v>
      </c>
    </row>
    <row r="36" spans="1:16" ht="13.5" hidden="1" thickBot="1" x14ac:dyDescent="0.25">
      <c r="A36" s="265"/>
      <c r="B36" s="311"/>
      <c r="C36" s="266"/>
      <c r="D36" s="266"/>
      <c r="E36" s="270">
        <f>IFERROR(SUMIFS('Tabla Honorarios 2023'!$G$3:$G$19,'Tabla Honorarios 2023'!$A$3:$A$19,' R-FC-88'!A36,'Tabla Honorarios 2023'!$C$3:$C$19,' R-FC-88'!C36),0)</f>
        <v>0</v>
      </c>
      <c r="F36" s="279">
        <f t="shared" si="0"/>
        <v>0</v>
      </c>
      <c r="G36" s="264"/>
      <c r="H36" s="264"/>
      <c r="I36" s="264"/>
      <c r="J36" s="280">
        <f t="shared" si="10"/>
        <v>0</v>
      </c>
      <c r="K36" s="270">
        <f>IFERROR(IF(G36&gt;0,VLOOKUP(A36,TablaViaticos2021!$B$26:$E$40,4),0),0)</f>
        <v>0</v>
      </c>
      <c r="L36" s="270">
        <f t="shared" si="8"/>
        <v>0</v>
      </c>
      <c r="M36" s="270">
        <f t="shared" si="9"/>
        <v>0</v>
      </c>
    </row>
    <row r="37" spans="1:16" ht="13.5" hidden="1" thickBot="1" x14ac:dyDescent="0.25">
      <c r="A37" s="265"/>
      <c r="B37" s="311"/>
      <c r="C37" s="266"/>
      <c r="D37" s="266"/>
      <c r="E37" s="270">
        <f>IFERROR(SUMIFS('Tabla Honorarios 2023'!$G$3:$G$19,'Tabla Honorarios 2023'!$A$3:$A$19,' R-FC-88'!A37,'Tabla Honorarios 2023'!$C$3:$C$19,' R-FC-88'!C37),0)</f>
        <v>0</v>
      </c>
      <c r="F37" s="279">
        <f t="shared" si="0"/>
        <v>0</v>
      </c>
      <c r="G37" s="264"/>
      <c r="H37" s="264"/>
      <c r="I37" s="264"/>
      <c r="J37" s="280">
        <f t="shared" si="10"/>
        <v>0</v>
      </c>
      <c r="K37" s="270">
        <f>IFERROR(IF(G37&gt;0,VLOOKUP(A37,TablaViaticos2021!$B$26:$E$40,4),0),0)</f>
        <v>0</v>
      </c>
      <c r="L37" s="270">
        <f t="shared" si="8"/>
        <v>0</v>
      </c>
      <c r="M37" s="270">
        <f t="shared" si="9"/>
        <v>0</v>
      </c>
    </row>
    <row r="38" spans="1:16" ht="13.5" hidden="1" thickBot="1" x14ac:dyDescent="0.25">
      <c r="A38" s="265"/>
      <c r="B38" s="311"/>
      <c r="C38" s="266"/>
      <c r="D38" s="266"/>
      <c r="E38" s="270">
        <f>IFERROR(SUMIFS('Tabla Honorarios 2023'!$G$3:$G$19,'Tabla Honorarios 2023'!$A$3:$A$19,' R-FC-88'!A38,'Tabla Honorarios 2023'!$C$3:$C$19,' R-FC-88'!C38),0)</f>
        <v>0</v>
      </c>
      <c r="F38" s="279">
        <f t="shared" si="0"/>
        <v>0</v>
      </c>
      <c r="G38" s="264"/>
      <c r="H38" s="264"/>
      <c r="I38" s="264"/>
      <c r="J38" s="280">
        <f t="shared" si="10"/>
        <v>0</v>
      </c>
      <c r="K38" s="270">
        <f>IFERROR(IF(G38&gt;0,VLOOKUP(A38,TablaViaticos2021!$B$26:$E$40,4),0),0)</f>
        <v>0</v>
      </c>
      <c r="L38" s="270">
        <f t="shared" si="8"/>
        <v>0</v>
      </c>
      <c r="M38" s="270">
        <f t="shared" si="9"/>
        <v>0</v>
      </c>
    </row>
    <row r="39" spans="1:16" ht="13.5" hidden="1" thickBot="1" x14ac:dyDescent="0.25">
      <c r="A39" s="265"/>
      <c r="B39" s="311"/>
      <c r="C39" s="266"/>
      <c r="D39" s="266"/>
      <c r="E39" s="270">
        <f>IFERROR(SUMIFS('Tabla Honorarios 2023'!$G$3:$G$19,'Tabla Honorarios 2023'!$A$3:$A$19,' R-FC-88'!A39,'Tabla Honorarios 2023'!$C$3:$C$19,' R-FC-88'!C39),0)</f>
        <v>0</v>
      </c>
      <c r="F39" s="279">
        <f t="shared" si="0"/>
        <v>0</v>
      </c>
      <c r="G39" s="264"/>
      <c r="H39" s="264"/>
      <c r="I39" s="264"/>
      <c r="J39" s="280">
        <f t="shared" si="10"/>
        <v>0</v>
      </c>
      <c r="K39" s="270">
        <f>IFERROR(IF(G39&gt;0,VLOOKUP(A39,TablaViaticos2021!$B$26:$E$40,4),0),0)</f>
        <v>0</v>
      </c>
      <c r="L39" s="270">
        <f t="shared" si="8"/>
        <v>0</v>
      </c>
      <c r="M39" s="270">
        <f t="shared" si="9"/>
        <v>0</v>
      </c>
    </row>
    <row r="40" spans="1:16" ht="13.5" hidden="1" thickBot="1" x14ac:dyDescent="0.25">
      <c r="A40" s="265"/>
      <c r="B40" s="304"/>
      <c r="C40" s="266"/>
      <c r="D40" s="266"/>
      <c r="E40" s="270">
        <f>IFERROR(SUMIFS('Tabla Honorarios 2023'!$G$3:$G$19,'Tabla Honorarios 2023'!$A$3:$A$19,' R-FC-88'!A40,'Tabla Honorarios 2023'!$C$3:$C$19,' R-FC-88'!C40),0)</f>
        <v>0</v>
      </c>
      <c r="F40" s="279">
        <f t="shared" si="0"/>
        <v>0</v>
      </c>
      <c r="G40" s="264"/>
      <c r="H40" s="264"/>
      <c r="I40" s="264"/>
      <c r="J40" s="280">
        <f t="shared" si="10"/>
        <v>0</v>
      </c>
      <c r="K40" s="270">
        <f>IFERROR(IF(G40&gt;0,VLOOKUP(A40,TablaViaticos2021!$B$26:$E$40,4),0),0)</f>
        <v>0</v>
      </c>
      <c r="L40" s="270">
        <f t="shared" si="8"/>
        <v>0</v>
      </c>
      <c r="M40" s="270">
        <f t="shared" si="9"/>
        <v>0</v>
      </c>
    </row>
    <row r="41" spans="1:16" ht="13.5" hidden="1" thickBot="1" x14ac:dyDescent="0.25">
      <c r="A41" s="265"/>
      <c r="B41" s="304"/>
      <c r="C41" s="266"/>
      <c r="D41" s="266"/>
      <c r="E41" s="270">
        <f>IFERROR(SUMIFS('Tabla Honorarios 2023'!$G$3:$G$19,'Tabla Honorarios 2023'!$A$3:$A$19,' R-FC-88'!A41,'Tabla Honorarios 2023'!$C$3:$C$19,' R-FC-88'!C41),0)</f>
        <v>0</v>
      </c>
      <c r="F41" s="279">
        <f t="shared" si="0"/>
        <v>0</v>
      </c>
      <c r="G41" s="264"/>
      <c r="H41" s="264"/>
      <c r="I41" s="264"/>
      <c r="J41" s="280">
        <f t="shared" si="10"/>
        <v>0</v>
      </c>
      <c r="K41" s="270">
        <f>IFERROR(IF(G41&gt;0,VLOOKUP(A41,TablaViaticos2021!$B$26:$E$40,4),0),0)</f>
        <v>0</v>
      </c>
      <c r="L41" s="270">
        <f t="shared" si="8"/>
        <v>0</v>
      </c>
      <c r="M41" s="270">
        <f t="shared" si="9"/>
        <v>0</v>
      </c>
    </row>
    <row r="42" spans="1:16" ht="13.5" hidden="1" thickBot="1" x14ac:dyDescent="0.25">
      <c r="A42" s="265"/>
      <c r="B42" s="304"/>
      <c r="C42" s="266"/>
      <c r="D42" s="266"/>
      <c r="E42" s="270">
        <f>IFERROR(SUMIFS('Tabla Honorarios 2023'!$G$3:$G$19,'Tabla Honorarios 2023'!$A$3:$A$19,' R-FC-88'!A42,'Tabla Honorarios 2023'!$C$3:$C$19,' R-FC-88'!C42),0)</f>
        <v>0</v>
      </c>
      <c r="F42" s="279">
        <f t="shared" si="0"/>
        <v>0</v>
      </c>
      <c r="G42" s="264"/>
      <c r="H42" s="264"/>
      <c r="I42" s="264"/>
      <c r="J42" s="280">
        <f t="shared" si="10"/>
        <v>0</v>
      </c>
      <c r="K42" s="270">
        <f>IFERROR(IF(G42&gt;0,VLOOKUP(A42,TablaViaticos2021!$B$26:$E$40,4),0),0)</f>
        <v>0</v>
      </c>
      <c r="L42" s="270">
        <f t="shared" si="8"/>
        <v>0</v>
      </c>
      <c r="M42" s="270">
        <f t="shared" si="9"/>
        <v>0</v>
      </c>
    </row>
    <row r="43" spans="1:16" ht="13.5" hidden="1" thickBot="1" x14ac:dyDescent="0.25">
      <c r="A43" s="265"/>
      <c r="B43" s="304"/>
      <c r="C43" s="266"/>
      <c r="D43" s="266"/>
      <c r="E43" s="270">
        <f>IFERROR(SUMIFS('Tabla Honorarios 2023'!$G$3:$G$19,'Tabla Honorarios 2023'!$A$3:$A$19,' R-FC-88'!A43,'Tabla Honorarios 2023'!$C$3:$C$19,' R-FC-88'!C43),0)</f>
        <v>0</v>
      </c>
      <c r="F43" s="279">
        <f t="shared" si="0"/>
        <v>0</v>
      </c>
      <c r="G43" s="264"/>
      <c r="H43" s="264"/>
      <c r="I43" s="264"/>
      <c r="J43" s="280">
        <f t="shared" si="10"/>
        <v>0</v>
      </c>
      <c r="K43" s="270">
        <f>IFERROR(IF(G43&gt;0,VLOOKUP(A43,TablaViaticos2021!$B$26:$E$40,4),0),0)</f>
        <v>0</v>
      </c>
      <c r="L43" s="270">
        <f t="shared" si="8"/>
        <v>0</v>
      </c>
      <c r="M43" s="270">
        <f t="shared" si="9"/>
        <v>0</v>
      </c>
    </row>
    <row r="44" spans="1:16" ht="13.5" thickBot="1" x14ac:dyDescent="0.25">
      <c r="A44" s="431"/>
      <c r="B44" s="432"/>
      <c r="C44" s="432"/>
      <c r="D44" s="432"/>
      <c r="E44" s="432"/>
      <c r="F44" s="432"/>
      <c r="G44" s="432"/>
      <c r="H44" s="432"/>
      <c r="I44" s="432"/>
      <c r="J44" s="432"/>
      <c r="K44" s="432"/>
      <c r="L44" s="432"/>
      <c r="M44" s="433"/>
    </row>
    <row r="45" spans="1:16" ht="13.5" thickBot="1" x14ac:dyDescent="0.25">
      <c r="A45" s="384" t="s">
        <v>710</v>
      </c>
      <c r="B45" s="385"/>
      <c r="C45" s="385"/>
      <c r="D45" s="386"/>
      <c r="E45" s="326">
        <v>0</v>
      </c>
      <c r="F45" s="434"/>
      <c r="G45" s="417"/>
      <c r="H45" s="418"/>
      <c r="I45" s="390" t="s">
        <v>594</v>
      </c>
      <c r="J45" s="385"/>
      <c r="K45" s="385"/>
      <c r="L45" s="386"/>
      <c r="M45" s="260">
        <f>SUM(M17:M43)</f>
        <v>0</v>
      </c>
      <c r="O45" s="283"/>
      <c r="P45" s="283"/>
    </row>
    <row r="46" spans="1:16" ht="13.5" thickBot="1" x14ac:dyDescent="0.25">
      <c r="A46" s="384" t="s">
        <v>563</v>
      </c>
      <c r="B46" s="385"/>
      <c r="C46" s="385"/>
      <c r="D46" s="386"/>
      <c r="E46" s="268">
        <f>+bdMacroeconomicos!C20</f>
        <v>1750905</v>
      </c>
      <c r="F46" s="416"/>
      <c r="G46" s="417"/>
      <c r="H46" s="418"/>
      <c r="I46" s="390" t="s">
        <v>593</v>
      </c>
      <c r="J46" s="385"/>
      <c r="K46" s="385"/>
      <c r="L46" s="386"/>
      <c r="M46" s="267">
        <f>35000*H19*8</f>
        <v>0</v>
      </c>
    </row>
    <row r="47" spans="1:16" ht="13.5" thickBot="1" x14ac:dyDescent="0.25">
      <c r="A47" s="384" t="s">
        <v>564</v>
      </c>
      <c r="B47" s="385"/>
      <c r="C47" s="385"/>
      <c r="D47" s="386"/>
      <c r="E47" s="260">
        <f>+E45/E46</f>
        <v>0</v>
      </c>
      <c r="F47" s="284"/>
      <c r="G47" s="285"/>
      <c r="H47" s="286"/>
      <c r="I47" s="390" t="s">
        <v>595</v>
      </c>
      <c r="J47" s="385"/>
      <c r="K47" s="385"/>
      <c r="L47" s="386"/>
      <c r="M47" s="268">
        <v>0</v>
      </c>
      <c r="O47" s="287"/>
      <c r="P47" s="287"/>
    </row>
    <row r="48" spans="1:16" ht="13.5" thickBot="1" x14ac:dyDescent="0.25">
      <c r="A48" s="384" t="s">
        <v>566</v>
      </c>
      <c r="B48" s="385"/>
      <c r="C48" s="385"/>
      <c r="D48" s="386"/>
      <c r="E48" s="261">
        <f>IF(E47&gt;=2115,(IF(E47=2115,0.6%,IF(E47&lt;8458,0.5%,0.4%))),"0"%)</f>
        <v>0</v>
      </c>
      <c r="F48" s="288"/>
      <c r="G48" s="285"/>
      <c r="H48" s="286"/>
      <c r="I48" s="403" t="s">
        <v>565</v>
      </c>
      <c r="J48" s="404"/>
      <c r="K48" s="404"/>
      <c r="L48" s="405"/>
      <c r="M48" s="262">
        <f>M45+M46+M47</f>
        <v>0</v>
      </c>
    </row>
    <row r="49" spans="1:18" ht="13.5" thickBot="1" x14ac:dyDescent="0.25">
      <c r="A49" s="406" t="s">
        <v>584</v>
      </c>
      <c r="B49" s="406"/>
      <c r="C49" s="406"/>
      <c r="D49" s="406"/>
      <c r="E49" s="406"/>
      <c r="F49" s="406"/>
      <c r="G49" s="406"/>
      <c r="H49" s="407"/>
      <c r="I49" s="390" t="s">
        <v>596</v>
      </c>
      <c r="J49" s="385"/>
      <c r="K49" s="385"/>
      <c r="L49" s="386"/>
      <c r="M49" s="260">
        <f>M48*25%</f>
        <v>0</v>
      </c>
    </row>
    <row r="50" spans="1:18" ht="16.5" thickBot="1" x14ac:dyDescent="0.3">
      <c r="A50" s="384" t="s">
        <v>567</v>
      </c>
      <c r="B50" s="385"/>
      <c r="C50" s="385"/>
      <c r="D50" s="386"/>
      <c r="E50" s="263">
        <f>IF(E45&gt;0,IF(E46&lt;=0,0,IF($E$47&lt;25,$E$67,IF($E$47&lt;35,$E$68,IF($E$47&lt;50,$E$69,IF($E$47&lt;70,$E$70,IF($E$47&lt;100,$E$71,IF($E$47&lt;200,$E$72,IF($E$47&lt;300,$E$73,IF($E$47&lt;400,$E$74,IF($E$47&lt;500,$E$75,IF($E$47&lt;700,$E$76,IF($E$47&lt;900,$E$77,IF($E$47&lt;1500,$E$78,IF($E$47&lt;2115,$E$79,IF(E47&gt;=2115,E45*E48,0))))))))))))))),0)</f>
        <v>0</v>
      </c>
      <c r="F50" s="284"/>
      <c r="G50" s="285"/>
      <c r="H50" s="286"/>
      <c r="I50" s="387" t="s">
        <v>568</v>
      </c>
      <c r="J50" s="388"/>
      <c r="K50" s="388"/>
      <c r="L50" s="389"/>
      <c r="M50" s="262">
        <f>SUM(M48:M49)</f>
        <v>0</v>
      </c>
      <c r="R50" s="287"/>
    </row>
    <row r="51" spans="1:18" ht="13.5" thickBot="1" x14ac:dyDescent="0.25">
      <c r="A51" s="390" t="s">
        <v>569</v>
      </c>
      <c r="B51" s="391"/>
      <c r="C51" s="391"/>
      <c r="D51" s="386"/>
      <c r="E51" s="263">
        <f>+M50</f>
        <v>0</v>
      </c>
      <c r="F51" s="284"/>
      <c r="G51" s="285"/>
      <c r="H51" s="286"/>
      <c r="I51" s="272" t="s">
        <v>657</v>
      </c>
      <c r="J51" s="380"/>
      <c r="K51" s="380"/>
      <c r="L51" s="381"/>
      <c r="M51" s="268"/>
      <c r="O51" s="283"/>
    </row>
    <row r="52" spans="1:18" ht="13.5" thickBot="1" x14ac:dyDescent="0.25">
      <c r="A52" s="408" t="s">
        <v>709</v>
      </c>
      <c r="B52" s="409"/>
      <c r="C52" s="409"/>
      <c r="D52" s="409"/>
      <c r="E52" s="409"/>
      <c r="F52" s="409"/>
      <c r="G52" s="409"/>
      <c r="H52" s="409"/>
      <c r="I52" s="410"/>
      <c r="J52" s="392">
        <f>IF(E45&lt;=0,E51+M51,MIN(E50:E51)+M51)</f>
        <v>0</v>
      </c>
      <c r="K52" s="393"/>
      <c r="L52" s="393"/>
      <c r="M52" s="394"/>
    </row>
    <row r="53" spans="1:18" ht="23.25" customHeight="1" thickBot="1" x14ac:dyDescent="0.25">
      <c r="A53" s="411" t="s">
        <v>711</v>
      </c>
      <c r="B53" s="412"/>
      <c r="C53" s="412"/>
      <c r="D53" s="412"/>
      <c r="E53" s="412"/>
      <c r="F53" s="412"/>
      <c r="G53" s="412"/>
      <c r="H53" s="412"/>
      <c r="I53" s="413"/>
      <c r="J53" s="395"/>
      <c r="K53" s="396"/>
      <c r="L53" s="396"/>
      <c r="M53" s="397"/>
      <c r="O53" s="289"/>
      <c r="P53" s="287"/>
      <c r="Q53" s="324"/>
    </row>
    <row r="54" spans="1:18" x14ac:dyDescent="0.2">
      <c r="A54" s="414"/>
      <c r="B54" s="415"/>
      <c r="C54" s="415"/>
      <c r="D54" s="415"/>
      <c r="E54" s="415"/>
      <c r="F54" s="415"/>
      <c r="G54" s="415"/>
      <c r="H54" s="415"/>
      <c r="I54" s="415"/>
      <c r="J54" s="372" t="s">
        <v>570</v>
      </c>
      <c r="K54" s="373"/>
      <c r="L54" s="373"/>
      <c r="M54" s="374"/>
    </row>
    <row r="55" spans="1:18" ht="12.75" customHeight="1" thickBot="1" x14ac:dyDescent="0.25">
      <c r="A55" s="382" t="s">
        <v>705</v>
      </c>
      <c r="B55" s="383"/>
      <c r="C55" s="383"/>
      <c r="D55" s="383"/>
      <c r="E55" s="383" t="s">
        <v>670</v>
      </c>
      <c r="F55" s="383"/>
      <c r="G55" s="383"/>
      <c r="H55" s="383"/>
      <c r="I55" s="383"/>
      <c r="J55" s="375"/>
      <c r="K55" s="376"/>
      <c r="L55" s="376"/>
      <c r="M55" s="377"/>
    </row>
    <row r="56" spans="1:18" ht="21" customHeight="1" x14ac:dyDescent="0.2"/>
    <row r="57" spans="1:18" ht="13.5" customHeight="1" x14ac:dyDescent="0.2">
      <c r="F57" s="273"/>
    </row>
    <row r="58" spans="1:18" ht="15" x14ac:dyDescent="0.2">
      <c r="A58" s="290"/>
      <c r="B58" s="306"/>
      <c r="C58" s="290"/>
      <c r="D58" s="291"/>
      <c r="E58" s="291"/>
    </row>
    <row r="59" spans="1:18" ht="15" x14ac:dyDescent="0.2">
      <c r="A59" s="290"/>
      <c r="B59" s="306"/>
      <c r="C59" s="290"/>
      <c r="D59" s="291"/>
      <c r="E59" s="291"/>
    </row>
    <row r="65" spans="1:17" ht="15" x14ac:dyDescent="0.25">
      <c r="A65" s="292" t="s">
        <v>606</v>
      </c>
      <c r="B65" s="307"/>
      <c r="C65" s="292"/>
      <c r="D65" s="293"/>
      <c r="E65" s="293"/>
      <c r="F65" s="293"/>
      <c r="G65" s="293"/>
      <c r="H65" s="293"/>
      <c r="I65" s="293"/>
      <c r="J65" s="293"/>
      <c r="K65" s="293"/>
      <c r="L65" s="293"/>
      <c r="M65" s="293"/>
    </row>
    <row r="66" spans="1:17" ht="19.5" x14ac:dyDescent="0.2">
      <c r="A66" s="294" t="s">
        <v>528</v>
      </c>
      <c r="B66" s="294" t="s">
        <v>543</v>
      </c>
      <c r="C66" s="294"/>
      <c r="E66" s="294" t="s">
        <v>704</v>
      </c>
      <c r="F66" s="294" t="s">
        <v>699</v>
      </c>
      <c r="G66" s="293"/>
      <c r="H66" s="293"/>
    </row>
    <row r="67" spans="1:17" x14ac:dyDescent="0.2">
      <c r="A67" s="295" t="s">
        <v>529</v>
      </c>
      <c r="B67" s="296">
        <v>76941</v>
      </c>
      <c r="C67" s="295"/>
      <c r="D67" s="272">
        <v>25</v>
      </c>
      <c r="E67" s="296">
        <f>ROUND(B67*(1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164600</v>
      </c>
      <c r="F67" s="296">
        <f>D67*$E$46</f>
        <v>43772625</v>
      </c>
      <c r="G67" s="293"/>
      <c r="H67" s="293"/>
    </row>
    <row r="68" spans="1:17" s="293" customFormat="1" ht="19.5" x14ac:dyDescent="0.2">
      <c r="A68" s="295" t="s">
        <v>530</v>
      </c>
      <c r="B68" s="297">
        <v>107841</v>
      </c>
      <c r="C68" s="295"/>
      <c r="D68" s="272">
        <v>35</v>
      </c>
      <c r="E68" s="296">
        <f>ROUND(B68*(1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230700</v>
      </c>
      <c r="F68" s="296">
        <f t="shared" ref="F68:F79" si="11">D68*$E$46</f>
        <v>61281675</v>
      </c>
      <c r="I68" s="272"/>
      <c r="J68" s="272"/>
      <c r="K68" s="272"/>
      <c r="L68" s="272"/>
      <c r="M68" s="272"/>
      <c r="Q68" s="325"/>
    </row>
    <row r="69" spans="1:17" ht="19.5" x14ac:dyDescent="0.2">
      <c r="A69" s="295" t="s">
        <v>531</v>
      </c>
      <c r="B69" s="296">
        <v>154191</v>
      </c>
      <c r="C69" s="295"/>
      <c r="D69" s="272">
        <v>50</v>
      </c>
      <c r="E69" s="296">
        <f>ROUND(B69*(1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329800</v>
      </c>
      <c r="F69" s="296">
        <f t="shared" si="11"/>
        <v>87545250</v>
      </c>
      <c r="G69" s="293"/>
      <c r="H69" s="293"/>
    </row>
    <row r="70" spans="1:17" ht="19.5" x14ac:dyDescent="0.2">
      <c r="A70" s="295" t="s">
        <v>532</v>
      </c>
      <c r="B70" s="296">
        <v>215991</v>
      </c>
      <c r="C70" s="295"/>
      <c r="D70" s="272">
        <v>70</v>
      </c>
      <c r="E70" s="296">
        <f>ROUND(B70*(1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462000</v>
      </c>
      <c r="F70" s="296">
        <f t="shared" si="11"/>
        <v>122563350</v>
      </c>
      <c r="G70" s="293"/>
      <c r="H70" s="293"/>
    </row>
    <row r="71" spans="1:17" ht="19.5" x14ac:dyDescent="0.2">
      <c r="A71" s="295" t="s">
        <v>533</v>
      </c>
      <c r="B71" s="296">
        <v>308691</v>
      </c>
      <c r="C71" s="295"/>
      <c r="D71" s="272">
        <v>100</v>
      </c>
      <c r="E71" s="296">
        <f>ROUND(B71*(1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660300</v>
      </c>
      <c r="F71" s="296">
        <f t="shared" si="11"/>
        <v>175090500</v>
      </c>
      <c r="G71" s="293"/>
      <c r="H71" s="293"/>
    </row>
    <row r="72" spans="1:17" ht="19.5" x14ac:dyDescent="0.2">
      <c r="A72" s="295" t="s">
        <v>534</v>
      </c>
      <c r="B72" s="296">
        <v>617691</v>
      </c>
      <c r="C72" s="295"/>
      <c r="D72" s="272">
        <v>200</v>
      </c>
      <c r="E72" s="296">
        <f>ROUND(B72*(1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1321200</v>
      </c>
      <c r="F72" s="296">
        <f t="shared" si="11"/>
        <v>350181000</v>
      </c>
      <c r="G72" s="293"/>
      <c r="H72" s="293"/>
    </row>
    <row r="73" spans="1:17" ht="19.5" x14ac:dyDescent="0.2">
      <c r="A73" s="295" t="s">
        <v>535</v>
      </c>
      <c r="B73" s="296">
        <v>926691</v>
      </c>
      <c r="C73" s="295"/>
      <c r="D73" s="272">
        <v>300</v>
      </c>
      <c r="E73" s="296">
        <f>ROUND(B73*(1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1982100</v>
      </c>
      <c r="F73" s="296">
        <f t="shared" si="11"/>
        <v>525271500</v>
      </c>
      <c r="G73" s="293"/>
      <c r="H73" s="293"/>
    </row>
    <row r="74" spans="1:17" ht="19.5" x14ac:dyDescent="0.2">
      <c r="A74" s="295" t="s">
        <v>536</v>
      </c>
      <c r="B74" s="296">
        <v>1235691</v>
      </c>
      <c r="C74" s="295"/>
      <c r="D74" s="272">
        <v>400</v>
      </c>
      <c r="E74" s="296">
        <f>ROUND(B74*(1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2643100</v>
      </c>
      <c r="F74" s="296">
        <f t="shared" si="11"/>
        <v>700362000</v>
      </c>
      <c r="G74" s="293"/>
      <c r="H74" s="293"/>
    </row>
    <row r="75" spans="1:17" ht="19.5" x14ac:dyDescent="0.2">
      <c r="A75" s="295" t="s">
        <v>537</v>
      </c>
      <c r="B75" s="296">
        <v>1544691</v>
      </c>
      <c r="C75" s="295"/>
      <c r="D75" s="272">
        <v>500</v>
      </c>
      <c r="E75" s="296">
        <f>ROUND(B75*(1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3304000</v>
      </c>
      <c r="F75" s="296">
        <f t="shared" si="11"/>
        <v>875452500</v>
      </c>
      <c r="G75" s="293"/>
      <c r="H75" s="293"/>
    </row>
    <row r="76" spans="1:17" ht="19.5" x14ac:dyDescent="0.2">
      <c r="A76" s="295" t="s">
        <v>538</v>
      </c>
      <c r="B76" s="296">
        <v>2162691</v>
      </c>
      <c r="C76" s="295"/>
      <c r="D76" s="272">
        <v>700</v>
      </c>
      <c r="E76" s="296">
        <f>ROUND(B76*(1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4625800</v>
      </c>
      <c r="F76" s="296">
        <f t="shared" si="11"/>
        <v>1225633500</v>
      </c>
      <c r="G76" s="293"/>
      <c r="H76" s="293"/>
    </row>
    <row r="77" spans="1:17" ht="19.5" x14ac:dyDescent="0.2">
      <c r="A77" s="295" t="s">
        <v>539</v>
      </c>
      <c r="B77" s="296">
        <v>2780691</v>
      </c>
      <c r="C77" s="295"/>
      <c r="D77" s="272">
        <v>900</v>
      </c>
      <c r="E77" s="296">
        <f>ROUND(B77*(1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5947700</v>
      </c>
      <c r="F77" s="296">
        <f t="shared" si="11"/>
        <v>1575814500</v>
      </c>
      <c r="G77" s="293"/>
      <c r="H77" s="293"/>
    </row>
    <row r="78" spans="1:17" ht="19.5" x14ac:dyDescent="0.2">
      <c r="A78" s="295" t="s">
        <v>540</v>
      </c>
      <c r="B78" s="296">
        <v>4634691</v>
      </c>
      <c r="C78" s="295"/>
      <c r="D78" s="272">
        <v>1500</v>
      </c>
      <c r="E78" s="296">
        <f>ROUND(B78*(1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9913300</v>
      </c>
      <c r="F78" s="296">
        <f t="shared" si="11"/>
        <v>2626357500</v>
      </c>
      <c r="G78" s="293"/>
      <c r="H78" s="293"/>
    </row>
    <row r="79" spans="1:17" ht="19.5" x14ac:dyDescent="0.2">
      <c r="A79" s="295" t="s">
        <v>541</v>
      </c>
      <c r="B79" s="296">
        <v>6535041</v>
      </c>
      <c r="C79" s="295"/>
      <c r="D79" s="272">
        <v>2115</v>
      </c>
      <c r="E79" s="296">
        <f>ROUND(B79*(1+bdMacroeconomicos!$B$4)*(1+bdMacroeconomicos!$B$5)*(1+bdMacroeconomicos!$B$6)*(1+bdMacroeconomicos!$B$7)*(1+bdMacroeconomicos!$B$8)*(1+bdMacroeconomicos!$B$9)*(1+bdMacroeconomicos!$B$10)*(1+bdMacroeconomicos!$B$11)*(1+bdMacroeconomicos!$B$12)*(1+bdMacroeconomicos!$B$13)*(1+bdMacroeconomicos!$B$14)*(1+bdMacroeconomicos!$B$15)*(1+bdMacroeconomicos!$B$16)*(1+bdMacroeconomicos!$B$17)*(1+bdMacroeconomicos!$B$18)*(1+bdMacroeconomicos!$B$19),-2)</f>
        <v>13978000</v>
      </c>
      <c r="F79" s="296">
        <f t="shared" si="11"/>
        <v>3703164075</v>
      </c>
      <c r="G79" s="293"/>
      <c r="H79" s="293"/>
    </row>
    <row r="80" spans="1:17" ht="15" x14ac:dyDescent="0.25">
      <c r="A80" s="298" t="s">
        <v>542</v>
      </c>
      <c r="B80" s="308"/>
      <c r="C80" s="298"/>
      <c r="D80" s="299"/>
      <c r="E80" s="299"/>
    </row>
    <row r="82" spans="1:9" ht="15" x14ac:dyDescent="0.25">
      <c r="A82" s="292" t="s">
        <v>607</v>
      </c>
      <c r="B82" s="307"/>
      <c r="C82" s="292"/>
    </row>
    <row r="83" spans="1:9" ht="19.5" x14ac:dyDescent="0.25">
      <c r="A83" s="295" t="s">
        <v>546</v>
      </c>
      <c r="B83" s="295"/>
      <c r="C83" s="295">
        <v>2115</v>
      </c>
      <c r="D83" s="300">
        <v>0.6</v>
      </c>
      <c r="E83" s="301">
        <v>6.0000000000000001E-3</v>
      </c>
      <c r="F83" s="296">
        <f>C83*$E$46</f>
        <v>3703164075</v>
      </c>
      <c r="G83" s="296">
        <f>+F83*E83</f>
        <v>22218984.449999999</v>
      </c>
      <c r="H83" s="302"/>
      <c r="I83" s="302"/>
    </row>
    <row r="84" spans="1:9" ht="39" x14ac:dyDescent="0.25">
      <c r="A84" s="295" t="s">
        <v>547</v>
      </c>
      <c r="B84" s="295"/>
      <c r="C84" s="295">
        <v>8458</v>
      </c>
      <c r="D84" s="300">
        <v>0.5</v>
      </c>
      <c r="E84" s="301">
        <v>5.0000000000000001E-3</v>
      </c>
      <c r="F84" s="296">
        <f t="shared" ref="F84:F85" si="12">C84*$E$46</f>
        <v>14809154490</v>
      </c>
      <c r="G84" s="296">
        <f t="shared" ref="G84:G85" si="13">+F84*E84</f>
        <v>74045772.450000003</v>
      </c>
      <c r="H84" s="302"/>
      <c r="I84" s="302"/>
    </row>
    <row r="85" spans="1:9" ht="39" x14ac:dyDescent="0.25">
      <c r="A85" s="295" t="s">
        <v>548</v>
      </c>
      <c r="B85" s="295"/>
      <c r="C85" s="295">
        <v>8458</v>
      </c>
      <c r="D85" s="300">
        <v>0.4</v>
      </c>
      <c r="E85" s="301">
        <v>4.0000000000000001E-3</v>
      </c>
      <c r="F85" s="296">
        <f t="shared" si="12"/>
        <v>14809154490</v>
      </c>
      <c r="G85" s="296">
        <f t="shared" si="13"/>
        <v>59236617.960000001</v>
      </c>
      <c r="H85" s="299"/>
      <c r="I85" s="299"/>
    </row>
    <row r="87" spans="1:9" ht="15" x14ac:dyDescent="0.25">
      <c r="A87" s="292" t="s">
        <v>697</v>
      </c>
      <c r="B87" s="307"/>
      <c r="C87" s="292"/>
    </row>
    <row r="88" spans="1:9" ht="26.25" customHeight="1" x14ac:dyDescent="0.2">
      <c r="A88" s="378" t="s">
        <v>728</v>
      </c>
      <c r="B88" s="378"/>
      <c r="C88" s="378"/>
      <c r="D88" s="378"/>
      <c r="E88" s="378"/>
      <c r="F88" s="378"/>
      <c r="G88" s="378"/>
    </row>
    <row r="89" spans="1:9" x14ac:dyDescent="0.2">
      <c r="A89" s="378" t="s">
        <v>730</v>
      </c>
      <c r="B89" s="378"/>
      <c r="C89" s="378"/>
      <c r="D89" s="378"/>
      <c r="E89" s="378"/>
      <c r="F89" s="378"/>
      <c r="G89" s="378"/>
    </row>
    <row r="90" spans="1:9" x14ac:dyDescent="0.2">
      <c r="A90" s="371" t="s">
        <v>685</v>
      </c>
      <c r="B90" s="371"/>
      <c r="C90" s="371"/>
      <c r="D90" s="371"/>
      <c r="E90" s="371"/>
      <c r="F90" s="371"/>
      <c r="G90" s="371"/>
    </row>
    <row r="91" spans="1:9" x14ac:dyDescent="0.2">
      <c r="A91" s="371" t="s">
        <v>660</v>
      </c>
      <c r="B91" s="371"/>
      <c r="C91" s="371"/>
      <c r="D91" s="371"/>
      <c r="E91" s="371"/>
      <c r="F91" s="371"/>
      <c r="G91" s="371"/>
    </row>
    <row r="92" spans="1:9" x14ac:dyDescent="0.2">
      <c r="A92" s="371" t="s">
        <v>635</v>
      </c>
      <c r="B92" s="371"/>
      <c r="C92" s="371"/>
      <c r="D92" s="371"/>
      <c r="E92" s="371"/>
      <c r="F92" s="371"/>
      <c r="G92" s="371"/>
    </row>
    <row r="93" spans="1:9" x14ac:dyDescent="0.2">
      <c r="A93" s="371" t="s">
        <v>633</v>
      </c>
      <c r="B93" s="371"/>
      <c r="C93" s="371"/>
      <c r="D93" s="371"/>
      <c r="E93" s="371"/>
      <c r="F93" s="371"/>
      <c r="G93" s="371"/>
    </row>
    <row r="94" spans="1:9" x14ac:dyDescent="0.2">
      <c r="A94" s="371" t="s">
        <v>731</v>
      </c>
      <c r="B94" s="371"/>
      <c r="C94" s="371"/>
      <c r="D94" s="371"/>
      <c r="E94" s="371"/>
      <c r="F94" s="371"/>
      <c r="G94" s="371"/>
    </row>
    <row r="95" spans="1:9" x14ac:dyDescent="0.2">
      <c r="A95" s="371" t="s">
        <v>634</v>
      </c>
      <c r="B95" s="371"/>
      <c r="C95" s="371"/>
      <c r="D95" s="371"/>
      <c r="E95" s="371"/>
      <c r="F95" s="371"/>
      <c r="G95" s="371"/>
    </row>
    <row r="96" spans="1:9" x14ac:dyDescent="0.2">
      <c r="A96" s="371" t="s">
        <v>733</v>
      </c>
      <c r="B96" s="371"/>
      <c r="C96" s="371"/>
      <c r="D96" s="371"/>
      <c r="E96" s="371"/>
      <c r="F96" s="371"/>
      <c r="G96" s="371"/>
    </row>
    <row r="97" spans="1:7" x14ac:dyDescent="0.2">
      <c r="A97" s="371" t="s">
        <v>440</v>
      </c>
      <c r="B97" s="371"/>
      <c r="C97" s="371"/>
      <c r="D97" s="371"/>
      <c r="E97" s="371"/>
      <c r="F97" s="371"/>
      <c r="G97" s="371"/>
    </row>
    <row r="98" spans="1:7" x14ac:dyDescent="0.2">
      <c r="A98" s="371" t="s">
        <v>734</v>
      </c>
      <c r="B98" s="371"/>
      <c r="C98" s="371"/>
      <c r="D98" s="371"/>
      <c r="E98" s="371"/>
      <c r="F98" s="371"/>
      <c r="G98" s="371"/>
    </row>
    <row r="99" spans="1:7" x14ac:dyDescent="0.2">
      <c r="A99" s="371" t="s">
        <v>637</v>
      </c>
      <c r="B99" s="371"/>
      <c r="C99" s="371"/>
      <c r="D99" s="371"/>
      <c r="E99" s="371"/>
      <c r="F99" s="371"/>
      <c r="G99" s="371"/>
    </row>
    <row r="100" spans="1:7" x14ac:dyDescent="0.2">
      <c r="A100" s="371" t="s">
        <v>735</v>
      </c>
      <c r="B100" s="371"/>
      <c r="C100" s="371"/>
      <c r="D100" s="371"/>
      <c r="E100" s="371"/>
      <c r="F100" s="371"/>
      <c r="G100" s="371"/>
    </row>
    <row r="101" spans="1:7" x14ac:dyDescent="0.2">
      <c r="A101" s="371" t="s">
        <v>661</v>
      </c>
      <c r="B101" s="371"/>
      <c r="C101" s="371"/>
      <c r="D101" s="371"/>
      <c r="E101" s="371"/>
      <c r="F101" s="371"/>
      <c r="G101" s="371"/>
    </row>
    <row r="102" spans="1:7" x14ac:dyDescent="0.2">
      <c r="A102" s="371" t="s">
        <v>638</v>
      </c>
      <c r="B102" s="371"/>
      <c r="C102" s="371"/>
      <c r="D102" s="371"/>
      <c r="E102" s="371"/>
      <c r="F102" s="371"/>
      <c r="G102" s="371"/>
    </row>
    <row r="103" spans="1:7" x14ac:dyDescent="0.2">
      <c r="A103" s="371" t="s">
        <v>636</v>
      </c>
      <c r="B103" s="371"/>
      <c r="C103" s="371"/>
      <c r="D103" s="371"/>
      <c r="E103" s="371"/>
      <c r="F103" s="371"/>
      <c r="G103" s="371"/>
    </row>
    <row r="104" spans="1:7" x14ac:dyDescent="0.2">
      <c r="A104" s="371" t="s">
        <v>729</v>
      </c>
      <c r="B104" s="371"/>
      <c r="C104" s="371"/>
      <c r="D104" s="371"/>
      <c r="E104" s="371"/>
      <c r="F104" s="371"/>
      <c r="G104" s="371"/>
    </row>
    <row r="105" spans="1:7" x14ac:dyDescent="0.2">
      <c r="A105" s="371" t="s">
        <v>654</v>
      </c>
      <c r="B105" s="371"/>
      <c r="C105" s="371"/>
      <c r="D105" s="371"/>
      <c r="E105" s="371"/>
      <c r="F105" s="371"/>
      <c r="G105" s="371"/>
    </row>
    <row r="106" spans="1:7" x14ac:dyDescent="0.2">
      <c r="A106" s="371" t="s">
        <v>645</v>
      </c>
      <c r="B106" s="371"/>
      <c r="C106" s="371"/>
      <c r="D106" s="371"/>
      <c r="E106" s="371"/>
      <c r="F106" s="371"/>
      <c r="G106" s="371"/>
    </row>
    <row r="107" spans="1:7" x14ac:dyDescent="0.2">
      <c r="A107" s="371" t="s">
        <v>646</v>
      </c>
      <c r="B107" s="371"/>
      <c r="C107" s="371"/>
      <c r="D107" s="371"/>
      <c r="E107" s="371"/>
      <c r="F107" s="371"/>
      <c r="G107" s="371"/>
    </row>
    <row r="108" spans="1:7" x14ac:dyDescent="0.2">
      <c r="A108" s="371" t="s">
        <v>644</v>
      </c>
      <c r="B108" s="371"/>
      <c r="C108" s="371"/>
      <c r="D108" s="371"/>
      <c r="E108" s="371"/>
      <c r="F108" s="371"/>
      <c r="G108" s="371"/>
    </row>
    <row r="109" spans="1:7" x14ac:dyDescent="0.2">
      <c r="A109" s="371" t="s">
        <v>641</v>
      </c>
      <c r="B109" s="371"/>
      <c r="C109" s="371"/>
      <c r="D109" s="371"/>
      <c r="E109" s="371"/>
      <c r="F109" s="371"/>
      <c r="G109" s="371"/>
    </row>
    <row r="110" spans="1:7" x14ac:dyDescent="0.2">
      <c r="A110" s="371" t="s">
        <v>648</v>
      </c>
      <c r="B110" s="371"/>
      <c r="C110" s="371"/>
      <c r="D110" s="371"/>
      <c r="E110" s="371"/>
      <c r="F110" s="371"/>
      <c r="G110" s="371"/>
    </row>
    <row r="111" spans="1:7" x14ac:dyDescent="0.2">
      <c r="A111" s="371" t="s">
        <v>662</v>
      </c>
      <c r="B111" s="371"/>
      <c r="C111" s="371"/>
      <c r="D111" s="371"/>
      <c r="E111" s="371"/>
      <c r="F111" s="371"/>
      <c r="G111" s="371"/>
    </row>
    <row r="112" spans="1:7" x14ac:dyDescent="0.2">
      <c r="A112" s="371" t="s">
        <v>426</v>
      </c>
      <c r="B112" s="371"/>
      <c r="C112" s="371"/>
      <c r="D112" s="371"/>
      <c r="E112" s="371"/>
      <c r="F112" s="371"/>
      <c r="G112" s="371"/>
    </row>
    <row r="113" spans="1:7" x14ac:dyDescent="0.2">
      <c r="A113" s="371" t="s">
        <v>640</v>
      </c>
      <c r="B113" s="371"/>
      <c r="C113" s="371"/>
      <c r="D113" s="371"/>
      <c r="E113" s="371"/>
      <c r="F113" s="371"/>
      <c r="G113" s="371"/>
    </row>
    <row r="114" spans="1:7" x14ac:dyDescent="0.2">
      <c r="A114" s="371" t="s">
        <v>647</v>
      </c>
      <c r="B114" s="371"/>
      <c r="C114" s="371"/>
      <c r="D114" s="371"/>
      <c r="E114" s="371"/>
      <c r="F114" s="371"/>
      <c r="G114" s="371"/>
    </row>
    <row r="115" spans="1:7" x14ac:dyDescent="0.2">
      <c r="A115" s="371" t="s">
        <v>737</v>
      </c>
      <c r="B115" s="371"/>
      <c r="C115" s="371"/>
      <c r="D115" s="371"/>
      <c r="E115" s="371"/>
      <c r="F115" s="371"/>
      <c r="G115" s="371"/>
    </row>
    <row r="116" spans="1:7" x14ac:dyDescent="0.2">
      <c r="A116" s="371" t="s">
        <v>109</v>
      </c>
      <c r="B116" s="371"/>
      <c r="C116" s="371"/>
      <c r="D116" s="371"/>
      <c r="E116" s="371"/>
      <c r="F116" s="371"/>
      <c r="G116" s="371"/>
    </row>
    <row r="117" spans="1:7" x14ac:dyDescent="0.2">
      <c r="A117" s="371" t="s">
        <v>639</v>
      </c>
      <c r="B117" s="371"/>
      <c r="C117" s="371"/>
      <c r="D117" s="371"/>
      <c r="E117" s="371"/>
      <c r="F117" s="371"/>
      <c r="G117" s="371"/>
    </row>
    <row r="118" spans="1:7" x14ac:dyDescent="0.2">
      <c r="A118" s="371" t="s">
        <v>738</v>
      </c>
      <c r="B118" s="371"/>
      <c r="C118" s="371"/>
      <c r="D118" s="371"/>
      <c r="E118" s="371"/>
      <c r="F118" s="371"/>
      <c r="G118" s="371"/>
    </row>
    <row r="119" spans="1:7" x14ac:dyDescent="0.2">
      <c r="A119" s="371" t="s">
        <v>643</v>
      </c>
      <c r="B119" s="371"/>
      <c r="C119" s="371"/>
      <c r="D119" s="371"/>
      <c r="E119" s="371"/>
      <c r="F119" s="371"/>
      <c r="G119" s="371"/>
    </row>
    <row r="120" spans="1:7" x14ac:dyDescent="0.2">
      <c r="A120" s="371" t="s">
        <v>642</v>
      </c>
      <c r="B120" s="371"/>
      <c r="C120" s="371"/>
      <c r="D120" s="371"/>
      <c r="E120" s="371"/>
      <c r="F120" s="371"/>
      <c r="G120" s="371"/>
    </row>
    <row r="121" spans="1:7" x14ac:dyDescent="0.2">
      <c r="A121" s="371" t="s">
        <v>739</v>
      </c>
      <c r="B121" s="371"/>
      <c r="C121" s="371"/>
      <c r="D121" s="371"/>
      <c r="E121" s="371"/>
      <c r="F121" s="371"/>
      <c r="G121" s="371"/>
    </row>
    <row r="122" spans="1:7" x14ac:dyDescent="0.2">
      <c r="A122" s="371" t="s">
        <v>740</v>
      </c>
      <c r="B122" s="371"/>
      <c r="C122" s="371"/>
      <c r="D122" s="371"/>
      <c r="E122" s="371"/>
      <c r="F122" s="371"/>
      <c r="G122" s="371"/>
    </row>
    <row r="123" spans="1:7" x14ac:dyDescent="0.2">
      <c r="A123" s="371" t="s">
        <v>741</v>
      </c>
      <c r="B123" s="371"/>
      <c r="C123" s="371"/>
      <c r="D123" s="371"/>
      <c r="E123" s="371"/>
      <c r="F123" s="371"/>
      <c r="G123" s="371"/>
    </row>
    <row r="124" spans="1:7" x14ac:dyDescent="0.2">
      <c r="A124" s="371" t="s">
        <v>649</v>
      </c>
      <c r="B124" s="371"/>
      <c r="C124" s="371"/>
      <c r="D124" s="371"/>
      <c r="E124" s="371"/>
      <c r="F124" s="371"/>
      <c r="G124" s="371"/>
    </row>
    <row r="125" spans="1:7" x14ac:dyDescent="0.2">
      <c r="A125" s="371" t="s">
        <v>651</v>
      </c>
      <c r="B125" s="371"/>
      <c r="C125" s="371"/>
      <c r="D125" s="371"/>
      <c r="E125" s="371"/>
      <c r="F125" s="371"/>
      <c r="G125" s="371"/>
    </row>
    <row r="126" spans="1:7" x14ac:dyDescent="0.2">
      <c r="A126" s="371" t="s">
        <v>652</v>
      </c>
      <c r="B126" s="371"/>
      <c r="C126" s="371"/>
      <c r="D126" s="371"/>
      <c r="E126" s="371"/>
      <c r="F126" s="371"/>
      <c r="G126" s="371"/>
    </row>
    <row r="127" spans="1:7" x14ac:dyDescent="0.2">
      <c r="A127" s="371" t="s">
        <v>650</v>
      </c>
      <c r="B127" s="371"/>
      <c r="C127" s="371"/>
      <c r="D127" s="371"/>
      <c r="E127" s="371"/>
      <c r="F127" s="371"/>
      <c r="G127" s="371"/>
    </row>
    <row r="128" spans="1:7" x14ac:dyDescent="0.2">
      <c r="A128" s="371" t="s">
        <v>742</v>
      </c>
      <c r="B128" s="371"/>
      <c r="C128" s="371"/>
      <c r="D128" s="371"/>
      <c r="E128" s="371"/>
      <c r="F128" s="371"/>
      <c r="G128" s="371"/>
    </row>
    <row r="129" spans="1:7" x14ac:dyDescent="0.2">
      <c r="A129" s="371" t="s">
        <v>743</v>
      </c>
      <c r="B129" s="371"/>
      <c r="C129" s="371"/>
      <c r="D129" s="371"/>
      <c r="E129" s="371"/>
      <c r="F129" s="371"/>
      <c r="G129" s="371"/>
    </row>
    <row r="130" spans="1:7" x14ac:dyDescent="0.2">
      <c r="A130" s="371" t="s">
        <v>744</v>
      </c>
      <c r="B130" s="371"/>
      <c r="C130" s="371"/>
      <c r="D130" s="371"/>
      <c r="E130" s="371"/>
      <c r="F130" s="371"/>
      <c r="G130" s="371"/>
    </row>
    <row r="131" spans="1:7" x14ac:dyDescent="0.2">
      <c r="A131" s="371" t="s">
        <v>653</v>
      </c>
      <c r="B131" s="371"/>
      <c r="C131" s="371"/>
      <c r="D131" s="371"/>
      <c r="E131" s="371"/>
      <c r="F131" s="371"/>
      <c r="G131" s="371"/>
    </row>
    <row r="132" spans="1:7" x14ac:dyDescent="0.2">
      <c r="A132" s="371" t="s">
        <v>110</v>
      </c>
      <c r="B132" s="371"/>
      <c r="C132" s="371"/>
      <c r="D132" s="371"/>
      <c r="E132" s="371"/>
      <c r="F132" s="371"/>
      <c r="G132" s="371"/>
    </row>
    <row r="134" spans="1:7" x14ac:dyDescent="0.2">
      <c r="A134" s="293" t="s">
        <v>693</v>
      </c>
    </row>
    <row r="135" spans="1:7" x14ac:dyDescent="0.2">
      <c r="A135" s="272" t="s">
        <v>732</v>
      </c>
    </row>
    <row r="136" spans="1:7" x14ac:dyDescent="0.2">
      <c r="A136" s="272" t="s">
        <v>703</v>
      </c>
    </row>
    <row r="137" spans="1:7" x14ac:dyDescent="0.2">
      <c r="A137" s="272" t="s">
        <v>736</v>
      </c>
    </row>
    <row r="138" spans="1:7" x14ac:dyDescent="0.2">
      <c r="A138" s="272" t="s">
        <v>696</v>
      </c>
    </row>
    <row r="139" spans="1:7" x14ac:dyDescent="0.2">
      <c r="A139" s="272" t="s">
        <v>695</v>
      </c>
    </row>
    <row r="140" spans="1:7" x14ac:dyDescent="0.2">
      <c r="A140" s="272" t="s">
        <v>694</v>
      </c>
    </row>
  </sheetData>
  <sortState ref="A88:G132">
    <sortCondition ref="A88"/>
  </sortState>
  <dataConsolidate/>
  <mergeCells count="90">
    <mergeCell ref="B5:F5"/>
    <mergeCell ref="B4:F4"/>
    <mergeCell ref="G6:H6"/>
    <mergeCell ref="I6:M6"/>
    <mergeCell ref="B7:F7"/>
    <mergeCell ref="G7:H7"/>
    <mergeCell ref="I7:M7"/>
    <mergeCell ref="B6:F6"/>
    <mergeCell ref="G5:H5"/>
    <mergeCell ref="I5:M5"/>
    <mergeCell ref="G4:M4"/>
    <mergeCell ref="G8:M8"/>
    <mergeCell ref="G9:J9"/>
    <mergeCell ref="K9:M9"/>
    <mergeCell ref="K10:M10"/>
    <mergeCell ref="B8:F8"/>
    <mergeCell ref="A11:M12"/>
    <mergeCell ref="A14:M14"/>
    <mergeCell ref="A15:M15"/>
    <mergeCell ref="A44:M44"/>
    <mergeCell ref="A45:D45"/>
    <mergeCell ref="F45:H45"/>
    <mergeCell ref="I45:L45"/>
    <mergeCell ref="A52:I52"/>
    <mergeCell ref="A53:I54"/>
    <mergeCell ref="A46:D46"/>
    <mergeCell ref="F46:H46"/>
    <mergeCell ref="I46:L46"/>
    <mergeCell ref="A1:B3"/>
    <mergeCell ref="J51:L51"/>
    <mergeCell ref="A55:D55"/>
    <mergeCell ref="E55:I55"/>
    <mergeCell ref="A50:D50"/>
    <mergeCell ref="I50:L50"/>
    <mergeCell ref="A51:D51"/>
    <mergeCell ref="J52:M53"/>
    <mergeCell ref="A9:A10"/>
    <mergeCell ref="G10:J10"/>
    <mergeCell ref="A47:D47"/>
    <mergeCell ref="I47:L47"/>
    <mergeCell ref="A48:D48"/>
    <mergeCell ref="I48:L48"/>
    <mergeCell ref="A49:H49"/>
    <mergeCell ref="I49:L49"/>
    <mergeCell ref="A93:G93"/>
    <mergeCell ref="A95:G95"/>
    <mergeCell ref="A97:G97"/>
    <mergeCell ref="A99:G99"/>
    <mergeCell ref="J54:M55"/>
    <mergeCell ref="A90:G90"/>
    <mergeCell ref="A91:G91"/>
    <mergeCell ref="A92:G92"/>
    <mergeCell ref="A88:G88"/>
    <mergeCell ref="A89:G89"/>
    <mergeCell ref="A101:G101"/>
    <mergeCell ref="A102:G102"/>
    <mergeCell ref="A103:G103"/>
    <mergeCell ref="A104:G104"/>
    <mergeCell ref="A105:G105"/>
    <mergeCell ref="A111:G111"/>
    <mergeCell ref="A113:G113"/>
    <mergeCell ref="A114:G114"/>
    <mergeCell ref="A116:G116"/>
    <mergeCell ref="A106:G106"/>
    <mergeCell ref="A107:G107"/>
    <mergeCell ref="A108:G108"/>
    <mergeCell ref="A109:G109"/>
    <mergeCell ref="A110:G110"/>
    <mergeCell ref="A132:G132"/>
    <mergeCell ref="A125:G125"/>
    <mergeCell ref="A126:G126"/>
    <mergeCell ref="A127:G127"/>
    <mergeCell ref="A128:G128"/>
    <mergeCell ref="A129:G129"/>
    <mergeCell ref="A131:G131"/>
    <mergeCell ref="A94:G94"/>
    <mergeCell ref="A96:G96"/>
    <mergeCell ref="A98:G98"/>
    <mergeCell ref="A100:G100"/>
    <mergeCell ref="A112:G112"/>
    <mergeCell ref="A115:G115"/>
    <mergeCell ref="A122:G122"/>
    <mergeCell ref="A130:G130"/>
    <mergeCell ref="A123:G123"/>
    <mergeCell ref="A124:G124"/>
    <mergeCell ref="A117:G117"/>
    <mergeCell ref="A118:G118"/>
    <mergeCell ref="A119:G119"/>
    <mergeCell ref="A120:G120"/>
    <mergeCell ref="A121:G121"/>
  </mergeCells>
  <dataValidations count="2">
    <dataValidation type="list" allowBlank="1" showInputMessage="1" showErrorMessage="1" sqref="B8:F8">
      <formula1>$A$135:$A$141</formula1>
    </dataValidation>
    <dataValidation type="list" allowBlank="1" showInputMessage="1" showErrorMessage="1" sqref="B7:F7">
      <formula1>$A$90:$A$133</formula1>
    </dataValidation>
  </dataValidations>
  <pageMargins left="0.7" right="0.7" top="0.75" bottom="0.75" header="0.3" footer="0.3"/>
  <pageSetup paperSize="9" scale="8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'Tabla Honorarios 2023'!$Q$3:$Q$19</xm:f>
          </x14:formula1>
          <xm:sqref>B40:B43</xm:sqref>
        </x14:dataValidation>
        <x14:dataValidation type="list" allowBlank="1" showInputMessage="1" showErrorMessage="1">
          <x14:formula1>
            <xm:f>'Tabla Honorarios 2023'!$C$3:$C$19</xm:f>
          </x14:formula1>
          <xm:sqref>C17:C43</xm:sqref>
        </x14:dataValidation>
        <x14:dataValidation type="list" allowBlank="1" showInputMessage="1" showErrorMessage="1">
          <x14:formula1>
            <xm:f>'Tabla Honorarios 2023'!$A$3:$A$18</xm:f>
          </x14:formula1>
          <xm:sqref>A17:A43</xm:sqref>
        </x14:dataValidation>
        <x14:dataValidation type="list" allowBlank="1" showInputMessage="1" showErrorMessage="1">
          <x14:formula1>
            <xm:f>'Tabla Honorarios 2023'!$L$2:$L$23</xm:f>
          </x14:formula1>
          <xm:sqref>B17:B39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18" zoomScaleNormal="100" workbookViewId="0">
      <selection activeCell="C19" sqref="C19"/>
    </sheetView>
  </sheetViews>
  <sheetFormatPr baseColWidth="10" defaultRowHeight="12.75" x14ac:dyDescent="0.2"/>
  <cols>
    <col min="1" max="1" width="11.42578125" style="245"/>
    <col min="2" max="2" width="30.85546875" customWidth="1"/>
    <col min="3" max="3" width="59.28515625" customWidth="1"/>
  </cols>
  <sheetData>
    <row r="1" spans="1:6" s="251" customFormat="1" ht="18" customHeight="1" x14ac:dyDescent="0.2">
      <c r="A1" s="476"/>
      <c r="B1" s="476"/>
      <c r="C1" s="249" t="s">
        <v>612</v>
      </c>
      <c r="D1" s="250"/>
      <c r="E1" s="250"/>
      <c r="F1" s="250"/>
    </row>
    <row r="2" spans="1:6" s="251" customFormat="1" ht="18" customHeight="1" x14ac:dyDescent="0.2">
      <c r="A2" s="476"/>
      <c r="B2" s="476"/>
      <c r="C2" s="249" t="s">
        <v>655</v>
      </c>
      <c r="D2" s="250"/>
      <c r="E2" s="250"/>
      <c r="F2" s="250"/>
    </row>
    <row r="3" spans="1:6" s="251" customFormat="1" ht="18" customHeight="1" x14ac:dyDescent="0.2">
      <c r="A3" s="476"/>
      <c r="B3" s="476"/>
      <c r="C3" s="252" t="s">
        <v>656</v>
      </c>
      <c r="D3" s="250"/>
      <c r="E3" s="250"/>
      <c r="F3" s="250"/>
    </row>
    <row r="4" spans="1:6" ht="48" customHeight="1" x14ac:dyDescent="0.2">
      <c r="B4" s="479" t="s">
        <v>658</v>
      </c>
      <c r="C4" s="479"/>
    </row>
    <row r="7" spans="1:6" ht="57" x14ac:dyDescent="0.2">
      <c r="A7" s="245" t="s">
        <v>618</v>
      </c>
      <c r="B7" s="243" t="s">
        <v>615</v>
      </c>
      <c r="C7" s="242" t="s">
        <v>627</v>
      </c>
    </row>
    <row r="8" spans="1:6" ht="14.25" x14ac:dyDescent="0.2">
      <c r="B8" s="8"/>
      <c r="C8" s="242"/>
    </row>
    <row r="9" spans="1:6" ht="14.25" customHeight="1" x14ac:dyDescent="0.2">
      <c r="B9" s="480" t="s">
        <v>614</v>
      </c>
      <c r="C9" s="480"/>
    </row>
    <row r="10" spans="1:6" ht="25.5" customHeight="1" x14ac:dyDescent="0.2">
      <c r="B10" s="481" t="s">
        <v>616</v>
      </c>
      <c r="C10" s="481"/>
    </row>
    <row r="11" spans="1:6" ht="356.25" x14ac:dyDescent="0.2">
      <c r="A11" s="245" t="s">
        <v>619</v>
      </c>
      <c r="B11" s="223" t="s">
        <v>590</v>
      </c>
      <c r="C11" s="224" t="s">
        <v>620</v>
      </c>
    </row>
    <row r="12" spans="1:6" ht="313.5" x14ac:dyDescent="0.2">
      <c r="A12" s="245" t="s">
        <v>623</v>
      </c>
      <c r="B12" s="244" t="s">
        <v>591</v>
      </c>
      <c r="C12" s="225" t="s">
        <v>745</v>
      </c>
    </row>
    <row r="13" spans="1:6" ht="71.25" customHeight="1" x14ac:dyDescent="0.2">
      <c r="A13" s="245" t="s">
        <v>624</v>
      </c>
      <c r="B13" s="482" t="s">
        <v>592</v>
      </c>
      <c r="C13" s="483" t="s">
        <v>621</v>
      </c>
    </row>
    <row r="14" spans="1:6" ht="14.25" customHeight="1" x14ac:dyDescent="0.2">
      <c r="B14" s="482"/>
      <c r="C14" s="484"/>
    </row>
    <row r="15" spans="1:6" ht="57" x14ac:dyDescent="0.2">
      <c r="A15" s="246" t="s">
        <v>625</v>
      </c>
      <c r="B15" s="244" t="s">
        <v>608</v>
      </c>
      <c r="C15" s="226" t="s">
        <v>622</v>
      </c>
    </row>
    <row r="16" spans="1:6" ht="14.25" x14ac:dyDescent="0.2">
      <c r="B16" s="244"/>
      <c r="C16" s="226"/>
    </row>
    <row r="17" spans="1:3" ht="14.25" x14ac:dyDescent="0.2">
      <c r="B17" s="244"/>
      <c r="C17" s="226"/>
    </row>
    <row r="18" spans="1:3" ht="25.5" customHeight="1" x14ac:dyDescent="0.2">
      <c r="B18" s="478" t="s">
        <v>613</v>
      </c>
      <c r="C18" s="478"/>
    </row>
    <row r="19" spans="1:3" ht="128.25" x14ac:dyDescent="0.2">
      <c r="A19" s="246" t="s">
        <v>626</v>
      </c>
      <c r="B19" s="176" t="s">
        <v>610</v>
      </c>
      <c r="C19" s="226" t="s">
        <v>747</v>
      </c>
    </row>
    <row r="20" spans="1:3" ht="255" x14ac:dyDescent="0.2">
      <c r="A20" s="477" t="s">
        <v>628</v>
      </c>
      <c r="B20" s="244" t="s">
        <v>609</v>
      </c>
      <c r="C20" s="247" t="s">
        <v>746</v>
      </c>
    </row>
    <row r="21" spans="1:3" ht="382.5" x14ac:dyDescent="0.2">
      <c r="A21" s="477"/>
      <c r="B21" s="244" t="s">
        <v>632</v>
      </c>
      <c r="C21" s="248" t="s">
        <v>629</v>
      </c>
    </row>
    <row r="22" spans="1:3" ht="42.75" x14ac:dyDescent="0.2">
      <c r="A22" s="246" t="s">
        <v>630</v>
      </c>
      <c r="B22" s="244" t="s">
        <v>611</v>
      </c>
      <c r="C22" s="222" t="s">
        <v>631</v>
      </c>
    </row>
    <row r="23" spans="1:3" x14ac:dyDescent="0.2">
      <c r="B23" s="244"/>
    </row>
    <row r="25" spans="1:3" ht="63.75" x14ac:dyDescent="0.2">
      <c r="B25" s="269" t="s">
        <v>664</v>
      </c>
    </row>
  </sheetData>
  <mergeCells count="8">
    <mergeCell ref="A1:B3"/>
    <mergeCell ref="A20:A21"/>
    <mergeCell ref="B18:C18"/>
    <mergeCell ref="B4:C4"/>
    <mergeCell ref="B9:C9"/>
    <mergeCell ref="B10:C10"/>
    <mergeCell ref="B13:B14"/>
    <mergeCell ref="C13:C1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dimension ref="A1:L45"/>
  <sheetViews>
    <sheetView topLeftCell="C1" zoomScale="80" zoomScaleNormal="80" workbookViewId="0">
      <selection activeCell="J10" sqref="J10"/>
    </sheetView>
  </sheetViews>
  <sheetFormatPr baseColWidth="10" defaultColWidth="11.5703125" defaultRowHeight="15" x14ac:dyDescent="0.25"/>
  <cols>
    <col min="1" max="1" width="34.85546875" style="65" customWidth="1"/>
    <col min="2" max="2" width="0" style="65" hidden="1" customWidth="1"/>
    <col min="3" max="3" width="11.5703125" style="65"/>
    <col min="4" max="4" width="14" style="65" bestFit="1" customWidth="1"/>
    <col min="5" max="5" width="13.7109375" style="65" bestFit="1" customWidth="1"/>
    <col min="6" max="6" width="13.140625" style="65" customWidth="1"/>
    <col min="7" max="7" width="14.140625" style="65" bestFit="1" customWidth="1"/>
    <col min="8" max="8" width="13.140625" style="65" bestFit="1" customWidth="1"/>
    <col min="9" max="9" width="11.5703125" style="65"/>
    <col min="10" max="10" width="24.42578125" style="65" customWidth="1"/>
    <col min="11" max="11" width="25.7109375" style="65" customWidth="1"/>
    <col min="12" max="12" width="6.85546875" style="65" customWidth="1"/>
    <col min="13" max="13" width="6.7109375" style="65" bestFit="1" customWidth="1"/>
    <col min="14" max="14" width="10.7109375" style="65" bestFit="1" customWidth="1"/>
    <col min="15" max="16384" width="11.5703125" style="65"/>
  </cols>
  <sheetData>
    <row r="1" spans="1:12" s="64" customFormat="1" ht="70.900000000000006" customHeight="1" thickTop="1" thickBot="1" x14ac:dyDescent="0.3">
      <c r="A1" s="499" t="s">
        <v>462</v>
      </c>
      <c r="B1" s="500"/>
      <c r="C1" s="500"/>
      <c r="D1" s="500"/>
      <c r="E1" s="500"/>
      <c r="F1" s="500"/>
      <c r="G1" s="500"/>
      <c r="H1" s="500"/>
      <c r="I1" s="500"/>
      <c r="J1" s="500"/>
      <c r="K1" s="501"/>
    </row>
    <row r="2" spans="1:12" s="64" customFormat="1" ht="45" customHeight="1" thickTop="1" thickBot="1" x14ac:dyDescent="0.3">
      <c r="A2" s="507" t="s">
        <v>418</v>
      </c>
      <c r="B2" s="508"/>
      <c r="C2" s="508"/>
      <c r="D2" s="508"/>
      <c r="E2" s="508"/>
      <c r="F2" s="508"/>
      <c r="G2" s="508"/>
      <c r="H2" s="508"/>
      <c r="I2" s="508"/>
      <c r="J2" s="509"/>
      <c r="K2" s="199">
        <f>ROUND(SMALL($J$17:$J$18,1),2)</f>
        <v>1682400</v>
      </c>
      <c r="L2" s="188"/>
    </row>
    <row r="3" spans="1:12" s="64" customFormat="1" ht="7.15" customHeight="1" thickTop="1" thickBot="1" x14ac:dyDescent="0.3">
      <c r="A3" s="126"/>
      <c r="B3" s="127"/>
      <c r="C3" s="127"/>
      <c r="D3" s="127"/>
      <c r="E3" s="127"/>
      <c r="F3" s="127"/>
      <c r="G3" s="127"/>
      <c r="H3" s="127"/>
      <c r="I3" s="128"/>
      <c r="J3" s="129"/>
      <c r="K3" s="129"/>
    </row>
    <row r="4" spans="1:12" s="64" customFormat="1" ht="18.600000000000001" customHeight="1" thickTop="1" x14ac:dyDescent="0.25">
      <c r="A4" s="510" t="s">
        <v>387</v>
      </c>
      <c r="B4" s="511"/>
      <c r="C4" s="511"/>
      <c r="D4" s="511"/>
      <c r="E4" s="511"/>
      <c r="F4" s="511"/>
      <c r="G4" s="511"/>
      <c r="H4" s="511"/>
      <c r="I4" s="511"/>
      <c r="J4" s="511"/>
      <c r="K4" s="130" t="s">
        <v>469</v>
      </c>
      <c r="L4" s="189"/>
    </row>
    <row r="5" spans="1:12" s="64" customFormat="1" ht="18.600000000000001" customHeight="1" thickBot="1" x14ac:dyDescent="0.3">
      <c r="A5" s="491" t="s">
        <v>388</v>
      </c>
      <c r="B5" s="492"/>
      <c r="C5" s="492"/>
      <c r="D5" s="492"/>
      <c r="E5" s="492"/>
      <c r="F5" s="492"/>
      <c r="G5" s="492"/>
      <c r="H5" s="164" t="s">
        <v>526</v>
      </c>
      <c r="I5" s="185">
        <f>J5/bdMacroeconomicos!$C$12</f>
        <v>320.00327683355476</v>
      </c>
      <c r="J5" s="161">
        <f>IF('VALOR DEL PROYECTO'!B1&lt;(2114*bdMacroeconomicos!C12),'VALOR DEL PROYECTO'!B1,0)</f>
        <v>250000000</v>
      </c>
      <c r="K5" s="163">
        <f>+IF($I$5&lt;25,$C$31,IF($I$5&lt;35,$C$32,IF($I$5&lt;50,$C$33,IF($I$5&lt;70,$C$34,IF($I$5&lt;100,$C$35,IF($I$5&lt;200,$C$36,IF($I$5&lt;300,$C$37,IF($I$5&lt;400,$C$38,IF($I$5&lt;500,$C$39,IF($I$5&lt;700,$C$40,IF($I$5&lt;900,$C$41,IF($I$5&lt;1500,$C$42,IF($I$5&lt;2115,$C$43,0)))))))))))))</f>
        <v>1682400</v>
      </c>
      <c r="L5" s="190"/>
    </row>
    <row r="6" spans="1:12" s="64" customFormat="1" ht="10.15" customHeight="1" thickTop="1" thickBot="1" x14ac:dyDescent="0.3">
      <c r="A6" s="123"/>
      <c r="B6" s="123"/>
      <c r="C6" s="123"/>
      <c r="D6" s="123"/>
      <c r="E6" s="123"/>
      <c r="F6" s="123"/>
      <c r="G6" s="123"/>
      <c r="H6" s="123"/>
      <c r="I6" s="123"/>
      <c r="J6" s="123"/>
      <c r="K6" s="124"/>
    </row>
    <row r="7" spans="1:12" s="64" customFormat="1" ht="18.600000000000001" customHeight="1" thickTop="1" x14ac:dyDescent="0.25">
      <c r="A7" s="504" t="s">
        <v>463</v>
      </c>
      <c r="B7" s="505"/>
      <c r="C7" s="505"/>
      <c r="D7" s="505"/>
      <c r="E7" s="505"/>
      <c r="F7" s="505"/>
      <c r="G7" s="505"/>
      <c r="H7" s="505"/>
      <c r="I7" s="505"/>
      <c r="J7" s="505"/>
      <c r="K7" s="506"/>
    </row>
    <row r="8" spans="1:12" s="64" customFormat="1" ht="18.600000000000001" customHeight="1" x14ac:dyDescent="0.25">
      <c r="A8" s="487" t="s">
        <v>474</v>
      </c>
      <c r="B8" s="488"/>
      <c r="C8" s="493" t="s">
        <v>436</v>
      </c>
      <c r="D8" s="493"/>
      <c r="E8" s="493"/>
      <c r="F8" s="493"/>
      <c r="G8" s="493"/>
      <c r="H8" s="493"/>
      <c r="I8" s="493"/>
      <c r="J8" s="497" t="s">
        <v>86</v>
      </c>
      <c r="K8" s="159"/>
    </row>
    <row r="9" spans="1:12" s="64" customFormat="1" ht="18.600000000000001" customHeight="1" x14ac:dyDescent="0.25">
      <c r="A9" s="489"/>
      <c r="B9" s="490"/>
      <c r="C9" s="494"/>
      <c r="D9" s="494"/>
      <c r="E9" s="494"/>
      <c r="F9" s="494"/>
      <c r="G9" s="494"/>
      <c r="H9" s="494"/>
      <c r="I9" s="494"/>
      <c r="J9" s="498"/>
      <c r="K9" s="160"/>
    </row>
    <row r="10" spans="1:12" s="64" customFormat="1" ht="15.75" x14ac:dyDescent="0.25">
      <c r="A10" s="502" t="s">
        <v>364</v>
      </c>
      <c r="B10" s="503"/>
      <c r="C10" s="503"/>
      <c r="D10" s="503"/>
      <c r="E10" s="503"/>
      <c r="F10" s="503"/>
      <c r="G10" s="503"/>
      <c r="H10" s="503"/>
      <c r="I10" s="503"/>
      <c r="J10" s="165">
        <f>ROUND(SUMIFS(Calculos!$K$3:$K$162,Calculos!$A$3:$A$162,'CALCULO TARIFA FINAL'!C8),-2)</f>
        <v>18363700</v>
      </c>
      <c r="K10" s="132"/>
    </row>
    <row r="11" spans="1:12" s="64" customFormat="1" ht="15.75" x14ac:dyDescent="0.25">
      <c r="A11" s="485" t="s">
        <v>365</v>
      </c>
      <c r="B11" s="486"/>
      <c r="C11" s="486"/>
      <c r="D11" s="486"/>
      <c r="E11" s="486"/>
      <c r="F11" s="486"/>
      <c r="G11" s="486"/>
      <c r="H11" s="486"/>
      <c r="I11" s="486"/>
      <c r="J11" s="166">
        <f>SUM(J12:J13)</f>
        <v>1975100</v>
      </c>
      <c r="K11" s="125"/>
    </row>
    <row r="12" spans="1:12" s="64" customFormat="1" ht="15.75" x14ac:dyDescent="0.25">
      <c r="A12" s="495" t="s">
        <v>366</v>
      </c>
      <c r="B12" s="496"/>
      <c r="C12" s="496"/>
      <c r="D12" s="496"/>
      <c r="E12" s="496"/>
      <c r="F12" s="496"/>
      <c r="G12" s="496"/>
      <c r="H12" s="496"/>
      <c r="I12" s="496"/>
      <c r="J12" s="167">
        <f>ROUND(SUMIFS(Calculos!$N$3:$N$162,Calculos!$A$3:$A$162,'CALCULO TARIFA FINAL'!C8),-2)</f>
        <v>1681000</v>
      </c>
      <c r="K12" s="133"/>
    </row>
    <row r="13" spans="1:12" s="64" customFormat="1" ht="15.75" x14ac:dyDescent="0.25">
      <c r="A13" s="495" t="s">
        <v>367</v>
      </c>
      <c r="B13" s="496"/>
      <c r="C13" s="496"/>
      <c r="D13" s="496"/>
      <c r="E13" s="496"/>
      <c r="F13" s="496"/>
      <c r="G13" s="496"/>
      <c r="H13" s="496"/>
      <c r="I13" s="496"/>
      <c r="J13" s="167">
        <f>ROUND(TarifasTransporte!K11,-2)</f>
        <v>294100</v>
      </c>
      <c r="K13" s="125"/>
    </row>
    <row r="14" spans="1:12" s="64" customFormat="1" ht="15.75" x14ac:dyDescent="0.25">
      <c r="A14" s="485" t="s">
        <v>368</v>
      </c>
      <c r="B14" s="486"/>
      <c r="C14" s="486"/>
      <c r="D14" s="486"/>
      <c r="E14" s="486"/>
      <c r="F14" s="486"/>
      <c r="G14" s="486"/>
      <c r="H14" s="486"/>
      <c r="I14" s="486"/>
      <c r="J14" s="166">
        <f>ROUND(Tarifaslab!M2,-2)</f>
        <v>0</v>
      </c>
      <c r="K14" s="125"/>
    </row>
    <row r="15" spans="1:12" s="64" customFormat="1" ht="15.75" x14ac:dyDescent="0.25">
      <c r="A15" s="485" t="s">
        <v>369</v>
      </c>
      <c r="B15" s="486"/>
      <c r="C15" s="486"/>
      <c r="D15" s="486"/>
      <c r="E15" s="486"/>
      <c r="F15" s="486"/>
      <c r="G15" s="486"/>
      <c r="H15" s="486"/>
      <c r="I15" s="486"/>
      <c r="J15" s="168">
        <f>J10+J11+J14</f>
        <v>20338800</v>
      </c>
      <c r="K15" s="125"/>
    </row>
    <row r="16" spans="1:12" s="64" customFormat="1" ht="15.75" x14ac:dyDescent="0.25">
      <c r="A16" s="485" t="s">
        <v>370</v>
      </c>
      <c r="B16" s="486"/>
      <c r="C16" s="486"/>
      <c r="D16" s="486"/>
      <c r="E16" s="486"/>
      <c r="F16" s="486"/>
      <c r="G16" s="486"/>
      <c r="H16" s="486"/>
      <c r="I16" s="486"/>
      <c r="J16" s="166">
        <f>ROUND(J15*0.25,-2)</f>
        <v>5084700</v>
      </c>
      <c r="K16" s="125"/>
    </row>
    <row r="17" spans="1:11" s="64" customFormat="1" ht="19.5" thickBot="1" x14ac:dyDescent="0.35">
      <c r="A17" s="512" t="s">
        <v>371</v>
      </c>
      <c r="B17" s="513"/>
      <c r="C17" s="513"/>
      <c r="D17" s="513"/>
      <c r="E17" s="513"/>
      <c r="F17" s="513"/>
      <c r="G17" s="513"/>
      <c r="H17" s="513"/>
      <c r="I17" s="513"/>
      <c r="J17" s="168">
        <f>J15+J16</f>
        <v>25423500</v>
      </c>
      <c r="K17" s="173"/>
    </row>
    <row r="18" spans="1:11" ht="15.75" thickTop="1" x14ac:dyDescent="0.25">
      <c r="A18" s="178" t="s">
        <v>527</v>
      </c>
      <c r="B18" s="178"/>
      <c r="C18" s="178"/>
      <c r="D18" s="178"/>
      <c r="E18" s="178"/>
      <c r="F18" s="178"/>
      <c r="G18" s="178"/>
      <c r="H18" s="178"/>
      <c r="I18" s="178"/>
      <c r="J18" s="179">
        <f>K5</f>
        <v>1682400</v>
      </c>
      <c r="K18" s="178"/>
    </row>
    <row r="19" spans="1:11" x14ac:dyDescent="0.25">
      <c r="A19" s="177" t="s">
        <v>545</v>
      </c>
    </row>
    <row r="20" spans="1:11" x14ac:dyDescent="0.25">
      <c r="A20" s="204" t="s">
        <v>572</v>
      </c>
    </row>
    <row r="22" spans="1:11" ht="15.75" x14ac:dyDescent="0.25">
      <c r="A22" s="195"/>
      <c r="I22" s="514" t="s">
        <v>550</v>
      </c>
      <c r="J22" s="514"/>
    </row>
    <row r="23" spans="1:11" x14ac:dyDescent="0.25">
      <c r="A23" s="195" t="s">
        <v>551</v>
      </c>
      <c r="H23" s="196" t="s">
        <v>549</v>
      </c>
      <c r="I23" s="197">
        <f>$J$23/bdMacroeconomicos!$C$12</f>
        <v>15168.155321910497</v>
      </c>
      <c r="J23" s="192">
        <f>'VALOR DEL PROYECTO'!B1+11600000000</f>
        <v>11850000000</v>
      </c>
    </row>
    <row r="24" spans="1:11" ht="15" customHeight="1" x14ac:dyDescent="0.25">
      <c r="A24" s="515" t="s">
        <v>546</v>
      </c>
      <c r="B24" s="516"/>
      <c r="C24" s="516"/>
      <c r="D24" s="516"/>
      <c r="E24" s="516"/>
      <c r="F24" s="516"/>
      <c r="G24" s="516"/>
      <c r="H24" s="186">
        <v>6.0000000000000001E-3</v>
      </c>
      <c r="I24" s="193"/>
      <c r="J24" s="194">
        <f>IF($I$23=2115,J23*(1+H24),0)</f>
        <v>0</v>
      </c>
      <c r="K24" s="5"/>
    </row>
    <row r="25" spans="1:11" ht="15" customHeight="1" x14ac:dyDescent="0.25">
      <c r="A25" s="515" t="s">
        <v>547</v>
      </c>
      <c r="B25" s="516"/>
      <c r="C25" s="516"/>
      <c r="D25" s="516"/>
      <c r="E25" s="516"/>
      <c r="F25" s="516"/>
      <c r="G25" s="516"/>
      <c r="H25" s="186">
        <v>5.0000000000000001E-3</v>
      </c>
      <c r="I25" s="193"/>
      <c r="J25" s="194">
        <f>IF(AND(I23&gt;2115,I23&lt;8458),J23*$H$25,0)</f>
        <v>0</v>
      </c>
      <c r="K25" s="5"/>
    </row>
    <row r="26" spans="1:11" ht="15" customHeight="1" x14ac:dyDescent="0.25">
      <c r="A26" s="515" t="s">
        <v>548</v>
      </c>
      <c r="B26" s="516"/>
      <c r="C26" s="516"/>
      <c r="D26" s="516"/>
      <c r="E26" s="516"/>
      <c r="F26" s="516"/>
      <c r="G26" s="516"/>
      <c r="H26" s="186">
        <v>4.0000000000000001E-3</v>
      </c>
      <c r="I26" s="193"/>
      <c r="J26" s="194">
        <f>IF(AND(I23&gt;=8458),J23*$H$26,0)</f>
        <v>47400000</v>
      </c>
      <c r="K26" s="5"/>
    </row>
    <row r="28" spans="1:11" x14ac:dyDescent="0.25">
      <c r="H28" s="198"/>
    </row>
    <row r="29" spans="1:11" x14ac:dyDescent="0.25">
      <c r="H29" s="198"/>
    </row>
    <row r="30" spans="1:11" ht="19.5" x14ac:dyDescent="0.25">
      <c r="A30" s="180" t="s">
        <v>528</v>
      </c>
      <c r="B30" s="180" t="s">
        <v>543</v>
      </c>
      <c r="C30" s="180" t="s">
        <v>544</v>
      </c>
      <c r="G30" s="177"/>
      <c r="H30" s="198"/>
    </row>
    <row r="31" spans="1:11" x14ac:dyDescent="0.25">
      <c r="A31" s="181" t="s">
        <v>529</v>
      </c>
      <c r="B31" s="183">
        <v>76941</v>
      </c>
      <c r="C31" s="183">
        <f>ROUND(B31*(1+bdMacroeconomicos!$B$4)*(1+bdMacroeconomicos!$B$5)*(1+bdMacroeconomicos!$B$6)*(1+bdMacroeconomicos!$B$7)*(1+bdMacroeconomicos!$B$8)*(1+bdMacroeconomicos!$B$9)*(1+bdMacroeconomicos!$B$10)*(1+bdMacroeconomicos!$B$11),-2)</f>
        <v>104800</v>
      </c>
      <c r="D31" s="169"/>
      <c r="E31" s="171"/>
      <c r="F31" s="169"/>
      <c r="G31" s="170"/>
      <c r="H31" s="171"/>
      <c r="I31" s="170"/>
      <c r="J31" s="169"/>
      <c r="K31" s="169"/>
    </row>
    <row r="32" spans="1:11" x14ac:dyDescent="0.25">
      <c r="A32" s="181" t="s">
        <v>530</v>
      </c>
      <c r="B32" s="184">
        <v>107841</v>
      </c>
      <c r="C32" s="183">
        <f>ROUND(B32*(1+bdMacroeconomicos!$B$4)*(1+bdMacroeconomicos!$B$5)*(1+bdMacroeconomicos!$B$6)*(1+bdMacroeconomicos!$B$7)*(1+bdMacroeconomicos!$B$8)*(1+bdMacroeconomicos!$B$9)*(1+bdMacroeconomicos!$B$10)*(1+bdMacroeconomicos!$B$11),-2)</f>
        <v>146800</v>
      </c>
      <c r="G32" s="177"/>
    </row>
    <row r="33" spans="1:7" x14ac:dyDescent="0.25">
      <c r="A33" s="181" t="s">
        <v>531</v>
      </c>
      <c r="B33" s="183">
        <v>154191</v>
      </c>
      <c r="C33" s="183">
        <f>ROUND(B33*(1+bdMacroeconomicos!$B$4)*(1+bdMacroeconomicos!$B$5)*(1+bdMacroeconomicos!$B$6)*(1+bdMacroeconomicos!$B$7)*(1+bdMacroeconomicos!$B$8)*(1+bdMacroeconomicos!$B$9)*(1+bdMacroeconomicos!$B$10)*(1+bdMacroeconomicos!$B$11),-2)</f>
        <v>209900</v>
      </c>
    </row>
    <row r="34" spans="1:7" x14ac:dyDescent="0.25">
      <c r="A34" s="181" t="s">
        <v>532</v>
      </c>
      <c r="B34" s="183">
        <v>215991</v>
      </c>
      <c r="C34" s="183">
        <f>ROUND(B34*(1+bdMacroeconomicos!$B$4)*(1+bdMacroeconomicos!$B$5)*(1+bdMacroeconomicos!$B$6)*(1+bdMacroeconomicos!$B$7)*(1+bdMacroeconomicos!$B$8)*(1+bdMacroeconomicos!$B$9)*(1+bdMacroeconomicos!$B$10)*(1+bdMacroeconomicos!$B$11),-2)</f>
        <v>294100</v>
      </c>
      <c r="G34" s="177"/>
    </row>
    <row r="35" spans="1:7" x14ac:dyDescent="0.25">
      <c r="A35" s="181" t="s">
        <v>533</v>
      </c>
      <c r="B35" s="183">
        <v>308691</v>
      </c>
      <c r="C35" s="183">
        <f>ROUND(B35*(1+bdMacroeconomicos!$B$4)*(1+bdMacroeconomicos!$B$5)*(1+bdMacroeconomicos!$B$6)*(1+bdMacroeconomicos!$B$7)*(1+bdMacroeconomicos!$B$8)*(1+bdMacroeconomicos!$B$9)*(1+bdMacroeconomicos!$B$10)*(1+bdMacroeconomicos!$B$11),-2)</f>
        <v>420300</v>
      </c>
    </row>
    <row r="36" spans="1:7" x14ac:dyDescent="0.25">
      <c r="A36" s="181" t="s">
        <v>534</v>
      </c>
      <c r="B36" s="183">
        <v>617691</v>
      </c>
      <c r="C36" s="183">
        <f>ROUND(B36*(1+bdMacroeconomicos!$B$4)*(1+bdMacroeconomicos!$B$5)*(1+bdMacroeconomicos!$B$6)*(1+bdMacroeconomicos!$B$7)*(1+bdMacroeconomicos!$B$8)*(1+bdMacroeconomicos!$B$9)*(1+bdMacroeconomicos!$B$10)*(1+bdMacroeconomicos!$B$11),-2)</f>
        <v>841000</v>
      </c>
    </row>
    <row r="37" spans="1:7" x14ac:dyDescent="0.25">
      <c r="A37" s="181" t="s">
        <v>535</v>
      </c>
      <c r="B37" s="183">
        <v>926691</v>
      </c>
      <c r="C37" s="183">
        <f>ROUND(B37*(1+bdMacroeconomicos!$B$4)*(1+bdMacroeconomicos!$B$5)*(1+bdMacroeconomicos!$B$6)*(1+bdMacroeconomicos!$B$7)*(1+bdMacroeconomicos!$B$8)*(1+bdMacroeconomicos!$B$9)*(1+bdMacroeconomicos!$B$10)*(1+bdMacroeconomicos!$B$11),-2)</f>
        <v>1261700</v>
      </c>
    </row>
    <row r="38" spans="1:7" x14ac:dyDescent="0.25">
      <c r="A38" s="181" t="s">
        <v>536</v>
      </c>
      <c r="B38" s="183">
        <v>1235691</v>
      </c>
      <c r="C38" s="183">
        <f>ROUND(B38*(1+bdMacroeconomicos!$B$4)*(1+bdMacroeconomicos!$B$5)*(1+bdMacroeconomicos!$B$6)*(1+bdMacroeconomicos!$B$7)*(1+bdMacroeconomicos!$B$8)*(1+bdMacroeconomicos!$B$9)*(1+bdMacroeconomicos!$B$10)*(1+bdMacroeconomicos!$B$11),-2)</f>
        <v>1682400</v>
      </c>
    </row>
    <row r="39" spans="1:7" x14ac:dyDescent="0.25">
      <c r="A39" s="181" t="s">
        <v>537</v>
      </c>
      <c r="B39" s="183">
        <v>1544691</v>
      </c>
      <c r="C39" s="183">
        <f>ROUND(B39*(1+bdMacroeconomicos!$B$4)*(1+bdMacroeconomicos!$B$5)*(1+bdMacroeconomicos!$B$6)*(1+bdMacroeconomicos!$B$7)*(1+bdMacroeconomicos!$B$8)*(1+bdMacroeconomicos!$B$9)*(1+bdMacroeconomicos!$B$10)*(1+bdMacroeconomicos!$B$11),-2)</f>
        <v>2103100</v>
      </c>
    </row>
    <row r="40" spans="1:7" x14ac:dyDescent="0.25">
      <c r="A40" s="181" t="s">
        <v>538</v>
      </c>
      <c r="B40" s="183">
        <v>2162691</v>
      </c>
      <c r="C40" s="183">
        <f>ROUND(B40*(1+bdMacroeconomicos!$B$4)*(1+bdMacroeconomicos!$B$5)*(1+bdMacroeconomicos!$B$6)*(1+bdMacroeconomicos!$B$7)*(1+bdMacroeconomicos!$B$8)*(1+bdMacroeconomicos!$B$9)*(1+bdMacroeconomicos!$B$10)*(1+bdMacroeconomicos!$B$11),-2)</f>
        <v>2944500</v>
      </c>
    </row>
    <row r="41" spans="1:7" x14ac:dyDescent="0.25">
      <c r="A41" s="181" t="s">
        <v>539</v>
      </c>
      <c r="B41" s="183">
        <v>2780691</v>
      </c>
      <c r="C41" s="183">
        <f>ROUND(B41*(1+bdMacroeconomicos!$B$4)*(1+bdMacroeconomicos!$B$5)*(1+bdMacroeconomicos!$B$6)*(1+bdMacroeconomicos!$B$7)*(1+bdMacroeconomicos!$B$8)*(1+bdMacroeconomicos!$B$9)*(1+bdMacroeconomicos!$B$10)*(1+bdMacroeconomicos!$B$11),-2)</f>
        <v>3785900</v>
      </c>
    </row>
    <row r="42" spans="1:7" ht="19.5" x14ac:dyDescent="0.25">
      <c r="A42" s="181" t="s">
        <v>540</v>
      </c>
      <c r="B42" s="183">
        <v>4634691</v>
      </c>
      <c r="C42" s="183">
        <f>ROUND(B42*(1+bdMacroeconomicos!$B$4)*(1+bdMacroeconomicos!$B$5)*(1+bdMacroeconomicos!$B$6)*(1+bdMacroeconomicos!$B$7)*(1+bdMacroeconomicos!$B$8)*(1+bdMacroeconomicos!$B$9)*(1+bdMacroeconomicos!$B$10)*(1+bdMacroeconomicos!$B$11),-2)</f>
        <v>6310200</v>
      </c>
    </row>
    <row r="43" spans="1:7" ht="19.5" x14ac:dyDescent="0.25">
      <c r="A43" s="181" t="s">
        <v>541</v>
      </c>
      <c r="B43" s="183">
        <v>6535041</v>
      </c>
      <c r="C43" s="183">
        <f>ROUND(B43*(1+bdMacroeconomicos!$B$4)*(1+bdMacroeconomicos!$B$5)*(1+bdMacroeconomicos!$B$6)*(1+bdMacroeconomicos!$B$7)*(1+bdMacroeconomicos!$B$8)*(1+bdMacroeconomicos!$B$9)*(1+bdMacroeconomicos!$B$10)*(1+bdMacroeconomicos!$B$11),-2)</f>
        <v>8897500</v>
      </c>
      <c r="E43" s="169"/>
    </row>
    <row r="44" spans="1:7" x14ac:dyDescent="0.25">
      <c r="A44" s="191" t="s">
        <v>542</v>
      </c>
    </row>
    <row r="45" spans="1:7" x14ac:dyDescent="0.25">
      <c r="A45" s="182"/>
    </row>
  </sheetData>
  <mergeCells count="20">
    <mergeCell ref="A17:I17"/>
    <mergeCell ref="I22:J22"/>
    <mergeCell ref="A24:G24"/>
    <mergeCell ref="A25:G25"/>
    <mergeCell ref="A26:G26"/>
    <mergeCell ref="J8:J9"/>
    <mergeCell ref="A1:K1"/>
    <mergeCell ref="A10:I10"/>
    <mergeCell ref="A11:I11"/>
    <mergeCell ref="A12:I12"/>
    <mergeCell ref="A7:K7"/>
    <mergeCell ref="A2:J2"/>
    <mergeCell ref="A4:J4"/>
    <mergeCell ref="A15:I15"/>
    <mergeCell ref="A16:I16"/>
    <mergeCell ref="A14:I14"/>
    <mergeCell ref="A8:B9"/>
    <mergeCell ref="A5:G5"/>
    <mergeCell ref="C8:I9"/>
    <mergeCell ref="A13:I13"/>
  </mergeCell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Calculos!$A$177:$A$192</xm:f>
          </x14:formula1>
          <xm:sqref>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O199"/>
  <sheetViews>
    <sheetView topLeftCell="A62" workbookViewId="0">
      <selection activeCell="A53" sqref="A53:A62"/>
    </sheetView>
  </sheetViews>
  <sheetFormatPr baseColWidth="10" defaultRowHeight="12.75" x14ac:dyDescent="0.2"/>
  <cols>
    <col min="1" max="1" width="38.42578125" customWidth="1"/>
    <col min="2" max="2" width="36.5703125" customWidth="1"/>
    <col min="3" max="3" width="4.28515625" customWidth="1"/>
    <col min="4" max="4" width="15.7109375" customWidth="1"/>
    <col min="6" max="6" width="11.42578125" style="136"/>
    <col min="7" max="7" width="7.5703125" bestFit="1" customWidth="1"/>
    <col min="8" max="8" width="10.28515625" bestFit="1" customWidth="1"/>
    <col min="9" max="9" width="15.7109375" customWidth="1"/>
    <col min="10" max="10" width="14.7109375" customWidth="1"/>
    <col min="11" max="11" width="15.42578125" customWidth="1"/>
    <col min="12" max="12" width="20.85546875" customWidth="1"/>
    <col min="13" max="13" width="12.7109375" customWidth="1"/>
    <col min="14" max="14" width="12.85546875" bestFit="1" customWidth="1"/>
    <col min="15" max="15" width="13.85546875" bestFit="1" customWidth="1"/>
  </cols>
  <sheetData>
    <row r="1" spans="1:15" ht="27.6" customHeight="1" x14ac:dyDescent="0.2">
      <c r="A1" s="529" t="s">
        <v>461</v>
      </c>
      <c r="B1" s="529"/>
      <c r="C1" s="529"/>
      <c r="D1" s="529"/>
      <c r="E1" s="529"/>
      <c r="F1" s="529"/>
      <c r="G1" s="529"/>
      <c r="H1" s="529"/>
      <c r="I1" s="529"/>
      <c r="J1" s="529"/>
      <c r="K1" s="529"/>
      <c r="L1" s="529"/>
    </row>
    <row r="2" spans="1:15" ht="120" x14ac:dyDescent="0.2">
      <c r="A2" s="117" t="s">
        <v>458</v>
      </c>
      <c r="B2" s="200" t="s">
        <v>427</v>
      </c>
      <c r="C2" s="120" t="s">
        <v>428</v>
      </c>
      <c r="D2" s="117" t="s">
        <v>428</v>
      </c>
      <c r="E2" s="202" t="s">
        <v>429</v>
      </c>
      <c r="F2" s="201" t="s">
        <v>430</v>
      </c>
      <c r="G2" s="117" t="s">
        <v>431</v>
      </c>
      <c r="H2" s="12" t="s">
        <v>432</v>
      </c>
      <c r="I2" s="203" t="s">
        <v>433</v>
      </c>
      <c r="J2" s="203" t="s">
        <v>472</v>
      </c>
      <c r="K2" s="118" t="s">
        <v>434</v>
      </c>
      <c r="L2" s="203" t="s">
        <v>61</v>
      </c>
      <c r="M2" s="203" t="s">
        <v>473</v>
      </c>
      <c r="N2" s="118" t="s">
        <v>435</v>
      </c>
      <c r="O2" s="118" t="s">
        <v>525</v>
      </c>
    </row>
    <row r="3" spans="1:15" ht="27.75" customHeight="1" x14ac:dyDescent="0.2">
      <c r="A3" s="526" t="s">
        <v>436</v>
      </c>
      <c r="B3" s="150" t="s">
        <v>512</v>
      </c>
      <c r="C3" s="121" t="s">
        <v>448</v>
      </c>
      <c r="D3" s="144">
        <v>1</v>
      </c>
      <c r="E3" s="147">
        <f>IFERROR(VLOOKUP(B3,'Tabla Honorarios 2023'!$A$27:$H$60,7,0),0)</f>
        <v>10270180.297599999</v>
      </c>
      <c r="F3" s="151">
        <v>0.25</v>
      </c>
      <c r="G3" s="144">
        <v>2</v>
      </c>
      <c r="H3" s="144">
        <v>1</v>
      </c>
      <c r="I3" s="147">
        <f>G3*H3</f>
        <v>2</v>
      </c>
      <c r="J3" s="147">
        <f>(E3*F3)*I3</f>
        <v>5135090.1487999996</v>
      </c>
      <c r="K3" s="520">
        <f>SUM(J3:J12)</f>
        <v>18363686.500361599</v>
      </c>
      <c r="L3" s="149">
        <f>SUMIFS(TablaViaticos2021!$D$6:$D$17,TablaViaticos2021!$A$6:$A$17,Calculos!B3)</f>
        <v>456561</v>
      </c>
      <c r="M3" s="149">
        <f>I3*L3</f>
        <v>913122</v>
      </c>
      <c r="N3" s="517">
        <f>SUM(M3:M12)</f>
        <v>1681045</v>
      </c>
      <c r="O3" s="517">
        <f>K3+N3</f>
        <v>20044731.500361599</v>
      </c>
    </row>
    <row r="4" spans="1:15" ht="15" customHeight="1" x14ac:dyDescent="0.2">
      <c r="A4" s="527"/>
      <c r="B4" s="150" t="s">
        <v>516</v>
      </c>
      <c r="C4" s="121" t="s">
        <v>449</v>
      </c>
      <c r="D4" s="144">
        <v>2</v>
      </c>
      <c r="E4" s="147">
        <f>IFERROR(VLOOKUP(B4,'Tabla Honorarios 2023'!$A$27:$H$60,7,0),0)</f>
        <v>4743615.0409856001</v>
      </c>
      <c r="F4" s="151">
        <v>0.75</v>
      </c>
      <c r="G4" s="144">
        <v>1</v>
      </c>
      <c r="H4" s="144">
        <v>1</v>
      </c>
      <c r="I4" s="147">
        <f t="shared" ref="I4:I67" si="0">G4*H4</f>
        <v>1</v>
      </c>
      <c r="J4" s="147">
        <f t="shared" ref="J4:J67" si="1">(E4*F4)*I4</f>
        <v>3557711.2807392003</v>
      </c>
      <c r="K4" s="521"/>
      <c r="L4" s="149">
        <f>SUMIFS(TablaViaticos2021!$D$6:$D$17,TablaViaticos2021!$A$6:$A$17,Calculos!B4)</f>
        <v>184753</v>
      </c>
      <c r="M4" s="149">
        <f t="shared" ref="M4:M67" si="2">I4*L4</f>
        <v>184753</v>
      </c>
      <c r="N4" s="518"/>
      <c r="O4" s="518"/>
    </row>
    <row r="5" spans="1:15" ht="15" customHeight="1" x14ac:dyDescent="0.2">
      <c r="A5" s="527"/>
      <c r="B5" s="150" t="s">
        <v>515</v>
      </c>
      <c r="C5" s="121" t="s">
        <v>450</v>
      </c>
      <c r="D5" s="144">
        <v>1</v>
      </c>
      <c r="E5" s="147">
        <f>IFERROR(VLOOKUP(B5,'Tabla Honorarios 2023'!$A$27:$H$60,7,0),0)</f>
        <v>3025474.2900223997</v>
      </c>
      <c r="F5" s="151">
        <v>0.5</v>
      </c>
      <c r="G5" s="144">
        <v>1</v>
      </c>
      <c r="H5" s="144">
        <v>2</v>
      </c>
      <c r="I5" s="147">
        <f t="shared" si="0"/>
        <v>2</v>
      </c>
      <c r="J5" s="147">
        <f t="shared" si="1"/>
        <v>3025474.2900223997</v>
      </c>
      <c r="K5" s="521"/>
      <c r="L5" s="149">
        <f>SUMIFS(TablaViaticos2021!$D$6:$D$17,TablaViaticos2021!$A$6:$A$17,Calculos!B5)</f>
        <v>152268</v>
      </c>
      <c r="M5" s="149">
        <f t="shared" si="2"/>
        <v>304536</v>
      </c>
      <c r="N5" s="518"/>
      <c r="O5" s="518"/>
    </row>
    <row r="6" spans="1:15" ht="15" customHeight="1" x14ac:dyDescent="0.2">
      <c r="A6" s="527"/>
      <c r="B6" s="150" t="s">
        <v>518</v>
      </c>
      <c r="C6" s="121" t="s">
        <v>451</v>
      </c>
      <c r="D6" s="144">
        <v>3</v>
      </c>
      <c r="E6" s="147">
        <f>IFERROR(VLOOKUP(B6,'Tabla Honorarios 2023'!$A$27:$H$60,7,0),0)</f>
        <v>6645410.7807999998</v>
      </c>
      <c r="F6" s="151">
        <v>1</v>
      </c>
      <c r="G6" s="144">
        <v>1</v>
      </c>
      <c r="H6" s="144">
        <v>1</v>
      </c>
      <c r="I6" s="147">
        <f t="shared" si="0"/>
        <v>1</v>
      </c>
      <c r="J6" s="147">
        <f t="shared" si="1"/>
        <v>6645410.7807999998</v>
      </c>
      <c r="K6" s="521"/>
      <c r="L6" s="149">
        <f>SUMIFS(TablaViaticos2021!$D$6:$D$17,TablaViaticos2021!$A$6:$A$17,Calculos!B6)</f>
        <v>278634</v>
      </c>
      <c r="M6" s="149">
        <f t="shared" si="2"/>
        <v>278634</v>
      </c>
      <c r="N6" s="518"/>
      <c r="O6" s="518"/>
    </row>
    <row r="7" spans="1:15" ht="15" customHeight="1" x14ac:dyDescent="0.2">
      <c r="A7" s="527"/>
      <c r="B7" s="150"/>
      <c r="C7" s="121" t="s">
        <v>452</v>
      </c>
      <c r="D7" s="144"/>
      <c r="E7" s="147">
        <f>IFERROR(VLOOKUP(B7,'Tabla Honorarios 2023'!$A$27:$H$60,7,0),0)</f>
        <v>0</v>
      </c>
      <c r="F7" s="151"/>
      <c r="G7" s="144"/>
      <c r="H7" s="144"/>
      <c r="I7" s="147">
        <f t="shared" si="0"/>
        <v>0</v>
      </c>
      <c r="J7" s="147">
        <f t="shared" si="1"/>
        <v>0</v>
      </c>
      <c r="K7" s="521"/>
      <c r="L7" s="149">
        <f>SUMIFS(TablaViaticos2021!$D$6:$D$17,TablaViaticos2021!$A$6:$A$17,Calculos!B7)</f>
        <v>0</v>
      </c>
      <c r="M7" s="149">
        <f t="shared" si="2"/>
        <v>0</v>
      </c>
      <c r="N7" s="518"/>
      <c r="O7" s="518"/>
    </row>
    <row r="8" spans="1:15" ht="15" customHeight="1" x14ac:dyDescent="0.2">
      <c r="A8" s="527"/>
      <c r="B8" s="150"/>
      <c r="C8" s="121"/>
      <c r="D8" s="144"/>
      <c r="E8" s="147">
        <f>IFERROR(VLOOKUP(B8,'Tabla Honorarios 2023'!$A$27:$H$60,7,0),0)</f>
        <v>0</v>
      </c>
      <c r="F8" s="151"/>
      <c r="G8" s="144"/>
      <c r="H8" s="144"/>
      <c r="I8" s="147">
        <f t="shared" si="0"/>
        <v>0</v>
      </c>
      <c r="J8" s="147">
        <f t="shared" si="1"/>
        <v>0</v>
      </c>
      <c r="K8" s="521"/>
      <c r="L8" s="149">
        <f>SUMIFS(TablaViaticos2021!$D$6:$D$17,TablaViaticos2021!$A$6:$A$17,Calculos!B8)</f>
        <v>0</v>
      </c>
      <c r="M8" s="149">
        <f t="shared" si="2"/>
        <v>0</v>
      </c>
      <c r="N8" s="518"/>
      <c r="O8" s="518"/>
    </row>
    <row r="9" spans="1:15" ht="15" customHeight="1" x14ac:dyDescent="0.2">
      <c r="A9" s="527"/>
      <c r="B9" s="150"/>
      <c r="C9" s="121"/>
      <c r="D9" s="144"/>
      <c r="E9" s="147">
        <f>IFERROR(VLOOKUP(B9,'Tabla Honorarios 2023'!$A$27:$H$60,7,0),0)</f>
        <v>0</v>
      </c>
      <c r="F9" s="151"/>
      <c r="G9" s="144"/>
      <c r="H9" s="144"/>
      <c r="I9" s="147">
        <f t="shared" si="0"/>
        <v>0</v>
      </c>
      <c r="J9" s="147">
        <f t="shared" si="1"/>
        <v>0</v>
      </c>
      <c r="K9" s="521"/>
      <c r="L9" s="149">
        <f>SUMIFS(TablaViaticos2021!$D$6:$D$17,TablaViaticos2021!$A$6:$A$17,Calculos!B9)</f>
        <v>0</v>
      </c>
      <c r="M9" s="149">
        <f t="shared" si="2"/>
        <v>0</v>
      </c>
      <c r="N9" s="518"/>
      <c r="O9" s="518"/>
    </row>
    <row r="10" spans="1:15" ht="15" customHeight="1" x14ac:dyDescent="0.2">
      <c r="A10" s="527"/>
      <c r="B10" s="150"/>
      <c r="C10" s="121"/>
      <c r="D10" s="144"/>
      <c r="E10" s="147">
        <f>IFERROR(VLOOKUP(B10,'Tabla Honorarios 2023'!$A$27:$H$60,7,0),0)</f>
        <v>0</v>
      </c>
      <c r="F10" s="151"/>
      <c r="G10" s="144"/>
      <c r="H10" s="144"/>
      <c r="I10" s="147">
        <f t="shared" si="0"/>
        <v>0</v>
      </c>
      <c r="J10" s="147">
        <f t="shared" si="1"/>
        <v>0</v>
      </c>
      <c r="K10" s="521"/>
      <c r="L10" s="149">
        <f>SUMIFS(TablaViaticos2021!$D$6:$D$17,TablaViaticos2021!$A$6:$A$17,Calculos!B10)</f>
        <v>0</v>
      </c>
      <c r="M10" s="149">
        <f t="shared" si="2"/>
        <v>0</v>
      </c>
      <c r="N10" s="518"/>
      <c r="O10" s="518"/>
    </row>
    <row r="11" spans="1:15" ht="15" customHeight="1" x14ac:dyDescent="0.2">
      <c r="A11" s="527"/>
      <c r="B11" s="150"/>
      <c r="C11" s="121"/>
      <c r="D11" s="144"/>
      <c r="E11" s="147">
        <f>IFERROR(VLOOKUP(B11,'Tabla Honorarios 2023'!$A$27:$H$60,7,0),0)</f>
        <v>0</v>
      </c>
      <c r="F11" s="151"/>
      <c r="G11" s="144"/>
      <c r="H11" s="144"/>
      <c r="I11" s="147">
        <f t="shared" si="0"/>
        <v>0</v>
      </c>
      <c r="J11" s="147">
        <f t="shared" si="1"/>
        <v>0</v>
      </c>
      <c r="K11" s="521"/>
      <c r="L11" s="149">
        <f>SUMIFS(TablaViaticos2021!$D$6:$D$17,TablaViaticos2021!$A$6:$A$17,Calculos!B11)</f>
        <v>0</v>
      </c>
      <c r="M11" s="149">
        <f t="shared" si="2"/>
        <v>0</v>
      </c>
      <c r="N11" s="518"/>
      <c r="O11" s="518"/>
    </row>
    <row r="12" spans="1:15" ht="15" customHeight="1" x14ac:dyDescent="0.2">
      <c r="A12" s="528"/>
      <c r="B12" s="150"/>
      <c r="C12" s="121"/>
      <c r="D12" s="144"/>
      <c r="E12" s="147">
        <f>IFERROR(VLOOKUP(B12,'Tabla Honorarios 2023'!$A$27:$H$60,7,0),0)</f>
        <v>0</v>
      </c>
      <c r="F12" s="151"/>
      <c r="G12" s="144"/>
      <c r="H12" s="144"/>
      <c r="I12" s="147">
        <f t="shared" si="0"/>
        <v>0</v>
      </c>
      <c r="J12" s="147">
        <f t="shared" si="1"/>
        <v>0</v>
      </c>
      <c r="K12" s="522"/>
      <c r="L12" s="149">
        <f>SUMIFS(TablaViaticos2021!$D$6:$D$17,TablaViaticos2021!$A$6:$A$17,Calculos!B12)</f>
        <v>0</v>
      </c>
      <c r="M12" s="149">
        <f t="shared" si="2"/>
        <v>0</v>
      </c>
      <c r="N12" s="519"/>
      <c r="O12" s="519"/>
    </row>
    <row r="13" spans="1:15" ht="15" customHeight="1" x14ac:dyDescent="0.2">
      <c r="A13" s="525" t="s">
        <v>437</v>
      </c>
      <c r="B13" s="150"/>
      <c r="C13" s="121" t="s">
        <v>448</v>
      </c>
      <c r="D13" s="119"/>
      <c r="E13" s="147">
        <f>IFERROR(VLOOKUP(B13,'Tabla Honorarios 2023'!$A$27:$H$60,7,0),0)</f>
        <v>0</v>
      </c>
      <c r="F13" s="151"/>
      <c r="G13" s="144"/>
      <c r="H13" s="144"/>
      <c r="I13" s="147">
        <f t="shared" si="0"/>
        <v>0</v>
      </c>
      <c r="J13" s="147">
        <f t="shared" si="1"/>
        <v>0</v>
      </c>
      <c r="K13" s="520">
        <f>SUM(J13:J22)</f>
        <v>0</v>
      </c>
      <c r="L13" s="149">
        <f>SUMIFS(TablaViaticos2021!$D$6:$D$17,TablaViaticos2021!$A$6:$A$17,Calculos!B13)</f>
        <v>0</v>
      </c>
      <c r="M13" s="149">
        <f t="shared" si="2"/>
        <v>0</v>
      </c>
      <c r="N13" s="517">
        <f t="shared" ref="N13" si="3">SUM(M13:M22)</f>
        <v>0</v>
      </c>
      <c r="O13" s="517">
        <f t="shared" ref="O13" si="4">K13+N13</f>
        <v>0</v>
      </c>
    </row>
    <row r="14" spans="1:15" ht="15" customHeight="1" x14ac:dyDescent="0.2">
      <c r="A14" s="525"/>
      <c r="B14" s="150"/>
      <c r="C14" s="121" t="s">
        <v>449</v>
      </c>
      <c r="D14" s="119"/>
      <c r="E14" s="147">
        <f>IFERROR(VLOOKUP(B14,'Tabla Honorarios 2023'!$A$27:$H$60,7,0),0)</f>
        <v>0</v>
      </c>
      <c r="F14" s="151"/>
      <c r="G14" s="144"/>
      <c r="H14" s="144"/>
      <c r="I14" s="147">
        <f t="shared" si="0"/>
        <v>0</v>
      </c>
      <c r="J14" s="147">
        <f t="shared" si="1"/>
        <v>0</v>
      </c>
      <c r="K14" s="521"/>
      <c r="L14" s="149">
        <f>SUMIFS(TablaViaticos2021!$D$6:$D$17,TablaViaticos2021!$A$6:$A$17,Calculos!B14)</f>
        <v>0</v>
      </c>
      <c r="M14" s="149">
        <f t="shared" si="2"/>
        <v>0</v>
      </c>
      <c r="N14" s="518"/>
      <c r="O14" s="518"/>
    </row>
    <row r="15" spans="1:15" ht="15" customHeight="1" x14ac:dyDescent="0.2">
      <c r="A15" s="525"/>
      <c r="B15" s="150"/>
      <c r="C15" s="121" t="s">
        <v>453</v>
      </c>
      <c r="D15" s="119"/>
      <c r="E15" s="147">
        <f>IFERROR(VLOOKUP(B15,'Tabla Honorarios 2023'!$A$27:$H$60,7,0),0)</f>
        <v>0</v>
      </c>
      <c r="F15" s="151"/>
      <c r="G15" s="144"/>
      <c r="H15" s="144"/>
      <c r="I15" s="147">
        <f t="shared" si="0"/>
        <v>0</v>
      </c>
      <c r="J15" s="147">
        <f t="shared" si="1"/>
        <v>0</v>
      </c>
      <c r="K15" s="521"/>
      <c r="L15" s="149">
        <f>SUMIFS(TablaViaticos2021!$D$6:$D$17,TablaViaticos2021!$A$6:$A$17,Calculos!B15)</f>
        <v>0</v>
      </c>
      <c r="M15" s="149">
        <f t="shared" si="2"/>
        <v>0</v>
      </c>
      <c r="N15" s="518"/>
      <c r="O15" s="518"/>
    </row>
    <row r="16" spans="1:15" ht="15" customHeight="1" x14ac:dyDescent="0.2">
      <c r="A16" s="525"/>
      <c r="B16" s="150"/>
      <c r="C16" s="121" t="s">
        <v>451</v>
      </c>
      <c r="D16" s="119"/>
      <c r="E16" s="147">
        <f>IFERROR(VLOOKUP(B16,'Tabla Honorarios 2023'!$A$27:$H$60,7,0),0)</f>
        <v>0</v>
      </c>
      <c r="F16" s="151"/>
      <c r="G16" s="144"/>
      <c r="H16" s="144"/>
      <c r="I16" s="147">
        <f t="shared" si="0"/>
        <v>0</v>
      </c>
      <c r="J16" s="147">
        <f t="shared" si="1"/>
        <v>0</v>
      </c>
      <c r="K16" s="521"/>
      <c r="L16" s="149">
        <f>SUMIFS(TablaViaticos2021!$D$6:$D$17,TablaViaticos2021!$A$6:$A$17,Calculos!B16)</f>
        <v>0</v>
      </c>
      <c r="M16" s="149">
        <f t="shared" si="2"/>
        <v>0</v>
      </c>
      <c r="N16" s="518"/>
      <c r="O16" s="518"/>
    </row>
    <row r="17" spans="1:15" ht="15" customHeight="1" x14ac:dyDescent="0.2">
      <c r="A17" s="525"/>
      <c r="B17" s="150"/>
      <c r="C17" s="121" t="s">
        <v>452</v>
      </c>
      <c r="D17" s="119"/>
      <c r="E17" s="147">
        <f>IFERROR(VLOOKUP(B17,'Tabla Honorarios 2023'!$A$27:$H$60,7,0),0)</f>
        <v>0</v>
      </c>
      <c r="F17" s="151"/>
      <c r="G17" s="144"/>
      <c r="H17" s="144"/>
      <c r="I17" s="147">
        <f t="shared" si="0"/>
        <v>0</v>
      </c>
      <c r="J17" s="147">
        <f t="shared" si="1"/>
        <v>0</v>
      </c>
      <c r="K17" s="521"/>
      <c r="L17" s="149">
        <f>SUMIFS(TablaViaticos2021!$D$6:$D$17,TablaViaticos2021!$A$6:$A$17,Calculos!B17)</f>
        <v>0</v>
      </c>
      <c r="M17" s="149">
        <f t="shared" si="2"/>
        <v>0</v>
      </c>
      <c r="N17" s="518"/>
      <c r="O17" s="518"/>
    </row>
    <row r="18" spans="1:15" ht="15" customHeight="1" x14ac:dyDescent="0.2">
      <c r="A18" s="525"/>
      <c r="B18" s="150"/>
      <c r="C18" s="121"/>
      <c r="D18" s="119"/>
      <c r="E18" s="147">
        <f>IFERROR(VLOOKUP(B18,'Tabla Honorarios 2023'!$A$27:$H$60,7,0),0)</f>
        <v>0</v>
      </c>
      <c r="F18" s="151"/>
      <c r="G18" s="144"/>
      <c r="H18" s="144"/>
      <c r="I18" s="147">
        <f t="shared" si="0"/>
        <v>0</v>
      </c>
      <c r="J18" s="147">
        <f t="shared" si="1"/>
        <v>0</v>
      </c>
      <c r="K18" s="521"/>
      <c r="L18" s="149">
        <f>SUMIFS(TablaViaticos2021!$D$6:$D$17,TablaViaticos2021!$A$6:$A$17,Calculos!B18)</f>
        <v>0</v>
      </c>
      <c r="M18" s="149">
        <f t="shared" si="2"/>
        <v>0</v>
      </c>
      <c r="N18" s="518"/>
      <c r="O18" s="518"/>
    </row>
    <row r="19" spans="1:15" ht="15" customHeight="1" x14ac:dyDescent="0.2">
      <c r="A19" s="525"/>
      <c r="B19" s="150"/>
      <c r="C19" s="121"/>
      <c r="D19" s="119"/>
      <c r="E19" s="147">
        <f>IFERROR(VLOOKUP(B19,'Tabla Honorarios 2023'!$A$27:$H$60,7,0),0)</f>
        <v>0</v>
      </c>
      <c r="F19" s="151"/>
      <c r="G19" s="144"/>
      <c r="H19" s="144"/>
      <c r="I19" s="147">
        <f t="shared" si="0"/>
        <v>0</v>
      </c>
      <c r="J19" s="147">
        <f t="shared" si="1"/>
        <v>0</v>
      </c>
      <c r="K19" s="521"/>
      <c r="L19" s="149">
        <f>SUMIFS(TablaViaticos2021!$D$6:$D$17,TablaViaticos2021!$A$6:$A$17,Calculos!B19)</f>
        <v>0</v>
      </c>
      <c r="M19" s="149">
        <f t="shared" si="2"/>
        <v>0</v>
      </c>
      <c r="N19" s="518"/>
      <c r="O19" s="518"/>
    </row>
    <row r="20" spans="1:15" ht="15" customHeight="1" x14ac:dyDescent="0.2">
      <c r="A20" s="525"/>
      <c r="B20" s="150"/>
      <c r="C20" s="121"/>
      <c r="D20" s="119"/>
      <c r="E20" s="147">
        <f>IFERROR(VLOOKUP(B20,'Tabla Honorarios 2023'!$A$27:$H$60,7,0),0)</f>
        <v>0</v>
      </c>
      <c r="F20" s="151"/>
      <c r="G20" s="144"/>
      <c r="H20" s="144"/>
      <c r="I20" s="147">
        <f t="shared" si="0"/>
        <v>0</v>
      </c>
      <c r="J20" s="147">
        <f t="shared" si="1"/>
        <v>0</v>
      </c>
      <c r="K20" s="521"/>
      <c r="L20" s="149">
        <f>SUMIFS(TablaViaticos2021!$D$6:$D$17,TablaViaticos2021!$A$6:$A$17,Calculos!B20)</f>
        <v>0</v>
      </c>
      <c r="M20" s="149">
        <f t="shared" si="2"/>
        <v>0</v>
      </c>
      <c r="N20" s="518"/>
      <c r="O20" s="518"/>
    </row>
    <row r="21" spans="1:15" ht="15" customHeight="1" x14ac:dyDescent="0.2">
      <c r="A21" s="525"/>
      <c r="B21" s="150"/>
      <c r="C21" s="121"/>
      <c r="D21" s="119"/>
      <c r="E21" s="147">
        <f>IFERROR(VLOOKUP(B21,'Tabla Honorarios 2023'!$A$27:$H$60,7,0),0)</f>
        <v>0</v>
      </c>
      <c r="F21" s="151"/>
      <c r="G21" s="144"/>
      <c r="H21" s="144"/>
      <c r="I21" s="147">
        <f t="shared" si="0"/>
        <v>0</v>
      </c>
      <c r="J21" s="147">
        <f t="shared" si="1"/>
        <v>0</v>
      </c>
      <c r="K21" s="521"/>
      <c r="L21" s="149">
        <f>SUMIFS(TablaViaticos2021!$D$6:$D$17,TablaViaticos2021!$A$6:$A$17,Calculos!B21)</f>
        <v>0</v>
      </c>
      <c r="M21" s="149">
        <f t="shared" si="2"/>
        <v>0</v>
      </c>
      <c r="N21" s="518"/>
      <c r="O21" s="518"/>
    </row>
    <row r="22" spans="1:15" ht="15" customHeight="1" x14ac:dyDescent="0.2">
      <c r="A22" s="525"/>
      <c r="B22" s="150"/>
      <c r="C22" s="121"/>
      <c r="D22" s="119"/>
      <c r="E22" s="147">
        <f>IFERROR(VLOOKUP(B22,'Tabla Honorarios 2023'!$A$27:$H$60,7,0),0)</f>
        <v>0</v>
      </c>
      <c r="F22" s="151"/>
      <c r="G22" s="144"/>
      <c r="H22" s="144"/>
      <c r="I22" s="147">
        <f t="shared" si="0"/>
        <v>0</v>
      </c>
      <c r="J22" s="147">
        <f t="shared" si="1"/>
        <v>0</v>
      </c>
      <c r="K22" s="522"/>
      <c r="L22" s="149">
        <f>SUMIFS(TablaViaticos2021!$D$6:$D$17,TablaViaticos2021!$A$6:$A$17,Calculos!B22)</f>
        <v>0</v>
      </c>
      <c r="M22" s="149">
        <f t="shared" si="2"/>
        <v>0</v>
      </c>
      <c r="N22" s="519"/>
      <c r="O22" s="519"/>
    </row>
    <row r="23" spans="1:15" ht="15" customHeight="1" x14ac:dyDescent="0.2">
      <c r="A23" s="525" t="s">
        <v>438</v>
      </c>
      <c r="B23" s="150"/>
      <c r="C23" s="121" t="s">
        <v>448</v>
      </c>
      <c r="D23" s="119"/>
      <c r="E23" s="147">
        <f>IFERROR(VLOOKUP(B23,'Tabla Honorarios 2023'!$A$27:$H$60,7,0),0)</f>
        <v>0</v>
      </c>
      <c r="F23" s="151"/>
      <c r="G23" s="144"/>
      <c r="H23" s="144"/>
      <c r="I23" s="147">
        <f t="shared" si="0"/>
        <v>0</v>
      </c>
      <c r="J23" s="147">
        <f t="shared" si="1"/>
        <v>0</v>
      </c>
      <c r="K23" s="520">
        <f t="shared" ref="K23" si="5">SUM(J23:J32)</f>
        <v>0</v>
      </c>
      <c r="L23" s="149">
        <f>SUMIFS(TablaViaticos2021!$D$6:$D$17,TablaViaticos2021!$A$6:$A$17,Calculos!B23)</f>
        <v>0</v>
      </c>
      <c r="M23" s="149">
        <f t="shared" si="2"/>
        <v>0</v>
      </c>
      <c r="N23" s="517">
        <f t="shared" ref="N23" si="6">SUM(M23:M32)</f>
        <v>0</v>
      </c>
      <c r="O23" s="517">
        <f t="shared" ref="O23" si="7">K23+N23</f>
        <v>0</v>
      </c>
    </row>
    <row r="24" spans="1:15" ht="15" customHeight="1" x14ac:dyDescent="0.2">
      <c r="A24" s="525"/>
      <c r="B24" s="150"/>
      <c r="C24" s="121" t="s">
        <v>449</v>
      </c>
      <c r="D24" s="119"/>
      <c r="E24" s="147">
        <f>IFERROR(VLOOKUP(B24,'Tabla Honorarios 2023'!$A$27:$H$60,7,0),0)</f>
        <v>0</v>
      </c>
      <c r="F24" s="151"/>
      <c r="G24" s="144"/>
      <c r="H24" s="144"/>
      <c r="I24" s="147">
        <f t="shared" si="0"/>
        <v>0</v>
      </c>
      <c r="J24" s="147">
        <f t="shared" si="1"/>
        <v>0</v>
      </c>
      <c r="K24" s="521"/>
      <c r="L24" s="149">
        <f>SUMIFS(TablaViaticos2021!$D$6:$D$17,TablaViaticos2021!$A$6:$A$17,Calculos!B24)</f>
        <v>0</v>
      </c>
      <c r="M24" s="149">
        <f t="shared" si="2"/>
        <v>0</v>
      </c>
      <c r="N24" s="518"/>
      <c r="O24" s="518"/>
    </row>
    <row r="25" spans="1:15" ht="15" customHeight="1" x14ac:dyDescent="0.2">
      <c r="A25" s="525"/>
      <c r="B25" s="150"/>
      <c r="C25" s="121" t="s">
        <v>450</v>
      </c>
      <c r="D25" s="119"/>
      <c r="E25" s="147">
        <f>IFERROR(VLOOKUP(B25,'Tabla Honorarios 2023'!$A$27:$H$60,7,0),0)</f>
        <v>0</v>
      </c>
      <c r="F25" s="151"/>
      <c r="G25" s="144"/>
      <c r="H25" s="144"/>
      <c r="I25" s="147">
        <f t="shared" si="0"/>
        <v>0</v>
      </c>
      <c r="J25" s="147">
        <f t="shared" si="1"/>
        <v>0</v>
      </c>
      <c r="K25" s="521"/>
      <c r="L25" s="149">
        <f>SUMIFS(TablaViaticos2021!$D$6:$D$17,TablaViaticos2021!$A$6:$A$17,Calculos!B25)</f>
        <v>0</v>
      </c>
      <c r="M25" s="149">
        <f t="shared" si="2"/>
        <v>0</v>
      </c>
      <c r="N25" s="518"/>
      <c r="O25" s="518"/>
    </row>
    <row r="26" spans="1:15" ht="15" customHeight="1" x14ac:dyDescent="0.2">
      <c r="A26" s="525"/>
      <c r="B26" s="150"/>
      <c r="C26" s="121" t="s">
        <v>454</v>
      </c>
      <c r="D26" s="119"/>
      <c r="E26" s="147">
        <f>IFERROR(VLOOKUP(B26,'Tabla Honorarios 2023'!$A$27:$H$60,7,0),0)</f>
        <v>0</v>
      </c>
      <c r="F26" s="151"/>
      <c r="G26" s="144"/>
      <c r="H26" s="144"/>
      <c r="I26" s="147">
        <f t="shared" si="0"/>
        <v>0</v>
      </c>
      <c r="J26" s="147">
        <f t="shared" si="1"/>
        <v>0</v>
      </c>
      <c r="K26" s="521"/>
      <c r="L26" s="149">
        <f>SUMIFS(TablaViaticos2021!$D$6:$D$17,TablaViaticos2021!$A$6:$A$17,Calculos!B26)</f>
        <v>0</v>
      </c>
      <c r="M26" s="149">
        <f t="shared" si="2"/>
        <v>0</v>
      </c>
      <c r="N26" s="518"/>
      <c r="O26" s="518"/>
    </row>
    <row r="27" spans="1:15" ht="15" customHeight="1" x14ac:dyDescent="0.2">
      <c r="A27" s="525"/>
      <c r="B27" s="150"/>
      <c r="C27" s="121" t="s">
        <v>452</v>
      </c>
      <c r="D27" s="119"/>
      <c r="E27" s="147">
        <f>IFERROR(VLOOKUP(B27,'Tabla Honorarios 2023'!$A$27:$H$60,7,0),0)</f>
        <v>0</v>
      </c>
      <c r="F27" s="151"/>
      <c r="G27" s="144"/>
      <c r="H27" s="144"/>
      <c r="I27" s="147">
        <f t="shared" si="0"/>
        <v>0</v>
      </c>
      <c r="J27" s="147">
        <f t="shared" si="1"/>
        <v>0</v>
      </c>
      <c r="K27" s="521"/>
      <c r="L27" s="149">
        <f>SUMIFS(TablaViaticos2021!$D$6:$D$17,TablaViaticos2021!$A$6:$A$17,Calculos!B27)</f>
        <v>0</v>
      </c>
      <c r="M27" s="149">
        <f t="shared" si="2"/>
        <v>0</v>
      </c>
      <c r="N27" s="518"/>
      <c r="O27" s="518"/>
    </row>
    <row r="28" spans="1:15" ht="15" customHeight="1" x14ac:dyDescent="0.2">
      <c r="A28" s="525"/>
      <c r="B28" s="150"/>
      <c r="C28" s="121"/>
      <c r="D28" s="119"/>
      <c r="E28" s="147">
        <f>IFERROR(VLOOKUP(B28,'Tabla Honorarios 2023'!$A$27:$H$60,7,0),0)</f>
        <v>0</v>
      </c>
      <c r="F28" s="151"/>
      <c r="G28" s="144"/>
      <c r="H28" s="144"/>
      <c r="I28" s="147">
        <f t="shared" si="0"/>
        <v>0</v>
      </c>
      <c r="J28" s="147">
        <f t="shared" si="1"/>
        <v>0</v>
      </c>
      <c r="K28" s="521"/>
      <c r="L28" s="149">
        <f>SUMIFS(TablaViaticos2021!$D$6:$D$17,TablaViaticos2021!$A$6:$A$17,Calculos!B28)</f>
        <v>0</v>
      </c>
      <c r="M28" s="149">
        <f t="shared" si="2"/>
        <v>0</v>
      </c>
      <c r="N28" s="518"/>
      <c r="O28" s="518"/>
    </row>
    <row r="29" spans="1:15" ht="15" customHeight="1" x14ac:dyDescent="0.2">
      <c r="A29" s="525"/>
      <c r="B29" s="150"/>
      <c r="C29" s="121"/>
      <c r="D29" s="119"/>
      <c r="E29" s="147">
        <f>IFERROR(VLOOKUP(B29,'Tabla Honorarios 2023'!$A$27:$H$60,7,0),0)</f>
        <v>0</v>
      </c>
      <c r="F29" s="151"/>
      <c r="G29" s="144"/>
      <c r="H29" s="144"/>
      <c r="I29" s="147">
        <f t="shared" si="0"/>
        <v>0</v>
      </c>
      <c r="J29" s="147">
        <f t="shared" si="1"/>
        <v>0</v>
      </c>
      <c r="K29" s="521"/>
      <c r="L29" s="149">
        <f>SUMIFS(TablaViaticos2021!$D$6:$D$17,TablaViaticos2021!$A$6:$A$17,Calculos!B29)</f>
        <v>0</v>
      </c>
      <c r="M29" s="149">
        <f t="shared" si="2"/>
        <v>0</v>
      </c>
      <c r="N29" s="518"/>
      <c r="O29" s="518"/>
    </row>
    <row r="30" spans="1:15" ht="15" customHeight="1" x14ac:dyDescent="0.2">
      <c r="A30" s="525"/>
      <c r="B30" s="150"/>
      <c r="C30" s="121"/>
      <c r="D30" s="119"/>
      <c r="E30" s="147">
        <f>IFERROR(VLOOKUP(B30,'Tabla Honorarios 2023'!$A$27:$H$60,7,0),0)</f>
        <v>0</v>
      </c>
      <c r="F30" s="151"/>
      <c r="G30" s="144"/>
      <c r="H30" s="144"/>
      <c r="I30" s="147">
        <f t="shared" si="0"/>
        <v>0</v>
      </c>
      <c r="J30" s="147">
        <f t="shared" si="1"/>
        <v>0</v>
      </c>
      <c r="K30" s="521"/>
      <c r="L30" s="149">
        <f>SUMIFS(TablaViaticos2021!$D$6:$D$17,TablaViaticos2021!$A$6:$A$17,Calculos!B30)</f>
        <v>0</v>
      </c>
      <c r="M30" s="149">
        <f t="shared" si="2"/>
        <v>0</v>
      </c>
      <c r="N30" s="518"/>
      <c r="O30" s="518"/>
    </row>
    <row r="31" spans="1:15" ht="15" customHeight="1" x14ac:dyDescent="0.2">
      <c r="A31" s="525"/>
      <c r="B31" s="150"/>
      <c r="C31" s="121"/>
      <c r="D31" s="119"/>
      <c r="E31" s="147">
        <f>IFERROR(VLOOKUP(B31,'Tabla Honorarios 2023'!$A$27:$H$60,7,0),0)</f>
        <v>0</v>
      </c>
      <c r="F31" s="151"/>
      <c r="G31" s="144"/>
      <c r="H31" s="144"/>
      <c r="I31" s="147">
        <f t="shared" si="0"/>
        <v>0</v>
      </c>
      <c r="J31" s="147">
        <f t="shared" si="1"/>
        <v>0</v>
      </c>
      <c r="K31" s="521"/>
      <c r="L31" s="149">
        <f>SUMIFS(TablaViaticos2021!$D$6:$D$17,TablaViaticos2021!$A$6:$A$17,Calculos!B31)</f>
        <v>0</v>
      </c>
      <c r="M31" s="149">
        <f t="shared" si="2"/>
        <v>0</v>
      </c>
      <c r="N31" s="518"/>
      <c r="O31" s="518"/>
    </row>
    <row r="32" spans="1:15" ht="15" customHeight="1" x14ac:dyDescent="0.2">
      <c r="A32" s="525"/>
      <c r="B32" s="150"/>
      <c r="C32" s="121"/>
      <c r="D32" s="119"/>
      <c r="E32" s="147">
        <f>IFERROR(VLOOKUP(B32,'Tabla Honorarios 2023'!$A$27:$H$60,7,0),0)</f>
        <v>0</v>
      </c>
      <c r="F32" s="151"/>
      <c r="G32" s="144"/>
      <c r="H32" s="144"/>
      <c r="I32" s="147">
        <f t="shared" si="0"/>
        <v>0</v>
      </c>
      <c r="J32" s="147">
        <f t="shared" si="1"/>
        <v>0</v>
      </c>
      <c r="K32" s="522"/>
      <c r="L32" s="149">
        <f>SUMIFS(TablaViaticos2021!$D$6:$D$17,TablaViaticos2021!$A$6:$A$17,Calculos!B32)</f>
        <v>0</v>
      </c>
      <c r="M32" s="149">
        <f t="shared" si="2"/>
        <v>0</v>
      </c>
      <c r="N32" s="519"/>
      <c r="O32" s="519"/>
    </row>
    <row r="33" spans="1:15" ht="15" customHeight="1" x14ac:dyDescent="0.2">
      <c r="A33" s="525" t="s">
        <v>426</v>
      </c>
      <c r="B33" s="150"/>
      <c r="C33" s="121" t="s">
        <v>448</v>
      </c>
      <c r="D33" s="119" t="s">
        <v>464</v>
      </c>
      <c r="E33" s="147">
        <f>IFERROR(VLOOKUP(B33,'Tabla Honorarios 2023'!$A$27:$H$60,7,0),0)</f>
        <v>0</v>
      </c>
      <c r="F33" s="151"/>
      <c r="G33" s="144"/>
      <c r="H33" s="144"/>
      <c r="I33" s="147">
        <f t="shared" si="0"/>
        <v>0</v>
      </c>
      <c r="J33" s="147">
        <f t="shared" si="1"/>
        <v>0</v>
      </c>
      <c r="K33" s="520">
        <f t="shared" ref="K33" si="8">SUM(J33:J42)</f>
        <v>0</v>
      </c>
      <c r="L33" s="149">
        <f>SUMIFS(TablaViaticos2021!$D$6:$D$17,TablaViaticos2021!$A$6:$A$17,Calculos!B33)</f>
        <v>0</v>
      </c>
      <c r="M33" s="149">
        <f t="shared" si="2"/>
        <v>0</v>
      </c>
      <c r="N33" s="517">
        <f t="shared" ref="N33" si="9">SUM(M33:M42)</f>
        <v>0</v>
      </c>
      <c r="O33" s="517">
        <f t="shared" ref="O33" si="10">K33+N33</f>
        <v>0</v>
      </c>
    </row>
    <row r="34" spans="1:15" ht="15" customHeight="1" x14ac:dyDescent="0.2">
      <c r="A34" s="525"/>
      <c r="B34" s="150"/>
      <c r="C34" s="121" t="s">
        <v>449</v>
      </c>
      <c r="D34" s="119"/>
      <c r="E34" s="147">
        <f>IFERROR(VLOOKUP(B34,'Tabla Honorarios 2023'!$A$27:$H$60,7,0),0)</f>
        <v>0</v>
      </c>
      <c r="F34" s="151"/>
      <c r="G34" s="144"/>
      <c r="H34" s="144"/>
      <c r="I34" s="147">
        <f t="shared" si="0"/>
        <v>0</v>
      </c>
      <c r="J34" s="147">
        <f t="shared" si="1"/>
        <v>0</v>
      </c>
      <c r="K34" s="521"/>
      <c r="L34" s="149">
        <f>SUMIFS(TablaViaticos2021!$D$6:$D$17,TablaViaticos2021!$A$6:$A$17,Calculos!B34)</f>
        <v>0</v>
      </c>
      <c r="M34" s="149">
        <f t="shared" si="2"/>
        <v>0</v>
      </c>
      <c r="N34" s="518"/>
      <c r="O34" s="518"/>
    </row>
    <row r="35" spans="1:15" ht="15" customHeight="1" x14ac:dyDescent="0.2">
      <c r="A35" s="525"/>
      <c r="B35" s="150"/>
      <c r="C35" s="121" t="s">
        <v>455</v>
      </c>
      <c r="D35" s="119"/>
      <c r="E35" s="147">
        <f>IFERROR(VLOOKUP(B35,'Tabla Honorarios 2023'!$A$27:$H$60,7,0),0)</f>
        <v>0</v>
      </c>
      <c r="F35" s="151"/>
      <c r="G35" s="144"/>
      <c r="H35" s="144"/>
      <c r="I35" s="147">
        <f t="shared" si="0"/>
        <v>0</v>
      </c>
      <c r="J35" s="147">
        <f t="shared" si="1"/>
        <v>0</v>
      </c>
      <c r="K35" s="521"/>
      <c r="L35" s="149">
        <f>SUMIFS(TablaViaticos2021!$D$6:$D$17,TablaViaticos2021!$A$6:$A$17,Calculos!B35)</f>
        <v>0</v>
      </c>
      <c r="M35" s="149">
        <f t="shared" si="2"/>
        <v>0</v>
      </c>
      <c r="N35" s="518"/>
      <c r="O35" s="518"/>
    </row>
    <row r="36" spans="1:15" ht="15" customHeight="1" x14ac:dyDescent="0.2">
      <c r="A36" s="525"/>
      <c r="B36" s="150"/>
      <c r="C36" s="121"/>
      <c r="D36" s="119"/>
      <c r="E36" s="147">
        <f>IFERROR(VLOOKUP(B36,'Tabla Honorarios 2023'!$A$27:$H$60,7,0),0)</f>
        <v>0</v>
      </c>
      <c r="F36" s="151"/>
      <c r="G36" s="144"/>
      <c r="H36" s="144"/>
      <c r="I36" s="147">
        <f t="shared" si="0"/>
        <v>0</v>
      </c>
      <c r="J36" s="147">
        <f t="shared" si="1"/>
        <v>0</v>
      </c>
      <c r="K36" s="521"/>
      <c r="L36" s="149">
        <f>SUMIFS(TablaViaticos2021!$D$6:$D$17,TablaViaticos2021!$A$6:$A$17,Calculos!B36)</f>
        <v>0</v>
      </c>
      <c r="M36" s="149">
        <f t="shared" si="2"/>
        <v>0</v>
      </c>
      <c r="N36" s="518"/>
      <c r="O36" s="518"/>
    </row>
    <row r="37" spans="1:15" ht="15" customHeight="1" x14ac:dyDescent="0.2">
      <c r="A37" s="525"/>
      <c r="B37" s="150"/>
      <c r="C37" s="121"/>
      <c r="D37" s="119"/>
      <c r="E37" s="147">
        <f>IFERROR(VLOOKUP(B37,'Tabla Honorarios 2023'!$A$27:$H$60,7,0),0)</f>
        <v>0</v>
      </c>
      <c r="F37" s="151"/>
      <c r="G37" s="144"/>
      <c r="H37" s="144"/>
      <c r="I37" s="147">
        <f t="shared" si="0"/>
        <v>0</v>
      </c>
      <c r="J37" s="147">
        <f t="shared" si="1"/>
        <v>0</v>
      </c>
      <c r="K37" s="521"/>
      <c r="L37" s="149">
        <f>SUMIFS(TablaViaticos2021!$D$6:$D$17,TablaViaticos2021!$A$6:$A$17,Calculos!B37)</f>
        <v>0</v>
      </c>
      <c r="M37" s="149">
        <f t="shared" si="2"/>
        <v>0</v>
      </c>
      <c r="N37" s="518"/>
      <c r="O37" s="518"/>
    </row>
    <row r="38" spans="1:15" ht="15" customHeight="1" x14ac:dyDescent="0.2">
      <c r="A38" s="525"/>
      <c r="B38" s="150"/>
      <c r="C38" s="121"/>
      <c r="D38" s="119"/>
      <c r="E38" s="147">
        <f>IFERROR(VLOOKUP(B38,'Tabla Honorarios 2023'!$A$27:$H$60,7,0),0)</f>
        <v>0</v>
      </c>
      <c r="F38" s="151"/>
      <c r="G38" s="144"/>
      <c r="H38" s="144"/>
      <c r="I38" s="147">
        <f t="shared" si="0"/>
        <v>0</v>
      </c>
      <c r="J38" s="147">
        <f t="shared" si="1"/>
        <v>0</v>
      </c>
      <c r="K38" s="521"/>
      <c r="L38" s="149">
        <f>SUMIFS(TablaViaticos2021!$D$6:$D$17,TablaViaticos2021!$A$6:$A$17,Calculos!B38)</f>
        <v>0</v>
      </c>
      <c r="M38" s="149">
        <f t="shared" si="2"/>
        <v>0</v>
      </c>
      <c r="N38" s="518"/>
      <c r="O38" s="518"/>
    </row>
    <row r="39" spans="1:15" ht="15" customHeight="1" x14ac:dyDescent="0.2">
      <c r="A39" s="525"/>
      <c r="B39" s="150"/>
      <c r="C39" s="121"/>
      <c r="D39" s="119"/>
      <c r="E39" s="147">
        <f>IFERROR(VLOOKUP(B39,'Tabla Honorarios 2023'!$A$27:$H$60,7,0),0)</f>
        <v>0</v>
      </c>
      <c r="F39" s="151"/>
      <c r="G39" s="144"/>
      <c r="H39" s="144"/>
      <c r="I39" s="147">
        <f t="shared" si="0"/>
        <v>0</v>
      </c>
      <c r="J39" s="147">
        <f t="shared" si="1"/>
        <v>0</v>
      </c>
      <c r="K39" s="521"/>
      <c r="L39" s="149">
        <f>SUMIFS(TablaViaticos2021!$D$6:$D$17,TablaViaticos2021!$A$6:$A$17,Calculos!B39)</f>
        <v>0</v>
      </c>
      <c r="M39" s="149">
        <f t="shared" si="2"/>
        <v>0</v>
      </c>
      <c r="N39" s="518"/>
      <c r="O39" s="518"/>
    </row>
    <row r="40" spans="1:15" ht="15" customHeight="1" x14ac:dyDescent="0.2">
      <c r="A40" s="525"/>
      <c r="B40" s="150"/>
      <c r="C40" s="121"/>
      <c r="D40" s="119"/>
      <c r="E40" s="147">
        <f>IFERROR(VLOOKUP(B40,'Tabla Honorarios 2023'!$A$27:$H$60,7,0),0)</f>
        <v>0</v>
      </c>
      <c r="F40" s="151"/>
      <c r="G40" s="144"/>
      <c r="H40" s="144"/>
      <c r="I40" s="147">
        <f t="shared" si="0"/>
        <v>0</v>
      </c>
      <c r="J40" s="147">
        <f t="shared" si="1"/>
        <v>0</v>
      </c>
      <c r="K40" s="521"/>
      <c r="L40" s="149">
        <f>SUMIFS(TablaViaticos2021!$D$6:$D$17,TablaViaticos2021!$A$6:$A$17,Calculos!B40)</f>
        <v>0</v>
      </c>
      <c r="M40" s="149">
        <f t="shared" si="2"/>
        <v>0</v>
      </c>
      <c r="N40" s="518"/>
      <c r="O40" s="518"/>
    </row>
    <row r="41" spans="1:15" ht="15" customHeight="1" x14ac:dyDescent="0.2">
      <c r="A41" s="525"/>
      <c r="B41" s="150"/>
      <c r="C41" s="121"/>
      <c r="D41" s="119"/>
      <c r="E41" s="147">
        <f>IFERROR(VLOOKUP(B41,'Tabla Honorarios 2023'!$A$27:$H$60,7,0),0)</f>
        <v>0</v>
      </c>
      <c r="F41" s="151"/>
      <c r="G41" s="144"/>
      <c r="H41" s="144"/>
      <c r="I41" s="147">
        <f t="shared" si="0"/>
        <v>0</v>
      </c>
      <c r="J41" s="147">
        <f t="shared" si="1"/>
        <v>0</v>
      </c>
      <c r="K41" s="521"/>
      <c r="L41" s="149">
        <f>SUMIFS(TablaViaticos2021!$D$6:$D$17,TablaViaticos2021!$A$6:$A$17,Calculos!B41)</f>
        <v>0</v>
      </c>
      <c r="M41" s="149">
        <f t="shared" si="2"/>
        <v>0</v>
      </c>
      <c r="N41" s="518"/>
      <c r="O41" s="518"/>
    </row>
    <row r="42" spans="1:15" ht="15" customHeight="1" x14ac:dyDescent="0.2">
      <c r="A42" s="525"/>
      <c r="B42" s="150"/>
      <c r="C42" s="121"/>
      <c r="D42" s="119"/>
      <c r="E42" s="147">
        <f>IFERROR(VLOOKUP(B42,'Tabla Honorarios 2023'!$A$27:$H$60,7,0),0)</f>
        <v>0</v>
      </c>
      <c r="F42" s="151"/>
      <c r="G42" s="144"/>
      <c r="H42" s="144"/>
      <c r="I42" s="147">
        <f t="shared" si="0"/>
        <v>0</v>
      </c>
      <c r="J42" s="147">
        <f t="shared" si="1"/>
        <v>0</v>
      </c>
      <c r="K42" s="522"/>
      <c r="L42" s="149">
        <f>SUMIFS(TablaViaticos2021!$D$6:$D$17,TablaViaticos2021!$A$6:$A$17,Calculos!B42)</f>
        <v>0</v>
      </c>
      <c r="M42" s="149">
        <f t="shared" si="2"/>
        <v>0</v>
      </c>
      <c r="N42" s="519"/>
      <c r="O42" s="519"/>
    </row>
    <row r="43" spans="1:15" ht="15" customHeight="1" x14ac:dyDescent="0.2">
      <c r="A43" s="525" t="s">
        <v>439</v>
      </c>
      <c r="B43" s="150"/>
      <c r="C43" s="121" t="s">
        <v>448</v>
      </c>
      <c r="D43" s="119" t="s">
        <v>465</v>
      </c>
      <c r="E43" s="147">
        <f>IFERROR(VLOOKUP(B43,'Tabla Honorarios 2023'!$A$27:$H$60,7,0),0)</f>
        <v>0</v>
      </c>
      <c r="F43" s="151"/>
      <c r="G43" s="144"/>
      <c r="H43" s="144"/>
      <c r="I43" s="147">
        <f t="shared" si="0"/>
        <v>0</v>
      </c>
      <c r="J43" s="147">
        <f t="shared" si="1"/>
        <v>0</v>
      </c>
      <c r="K43" s="520">
        <f t="shared" ref="K43" si="11">SUM(J43:J52)</f>
        <v>0</v>
      </c>
      <c r="L43" s="149">
        <f>SUMIFS(TablaViaticos2021!$D$6:$D$17,TablaViaticos2021!$A$6:$A$17,Calculos!B43)</f>
        <v>0</v>
      </c>
      <c r="M43" s="149">
        <f t="shared" si="2"/>
        <v>0</v>
      </c>
      <c r="N43" s="517">
        <f t="shared" ref="N43" si="12">SUM(M43:M52)</f>
        <v>0</v>
      </c>
      <c r="O43" s="517">
        <f t="shared" ref="O43" si="13">K43+N43</f>
        <v>0</v>
      </c>
    </row>
    <row r="44" spans="1:15" ht="15" customHeight="1" x14ac:dyDescent="0.2">
      <c r="A44" s="525"/>
      <c r="B44" s="150"/>
      <c r="C44" s="121" t="s">
        <v>449</v>
      </c>
      <c r="D44" s="119"/>
      <c r="E44" s="147">
        <f>IFERROR(VLOOKUP(B44,'Tabla Honorarios 2023'!$A$27:$H$60,7,0),0)</f>
        <v>0</v>
      </c>
      <c r="F44" s="151"/>
      <c r="G44" s="144"/>
      <c r="H44" s="144"/>
      <c r="I44" s="147">
        <f t="shared" si="0"/>
        <v>0</v>
      </c>
      <c r="J44" s="147">
        <f t="shared" si="1"/>
        <v>0</v>
      </c>
      <c r="K44" s="521"/>
      <c r="L44" s="149">
        <f>SUMIFS(TablaViaticos2021!$D$6:$D$17,TablaViaticos2021!$A$6:$A$17,Calculos!B44)</f>
        <v>0</v>
      </c>
      <c r="M44" s="149">
        <f t="shared" si="2"/>
        <v>0</v>
      </c>
      <c r="N44" s="518"/>
      <c r="O44" s="518"/>
    </row>
    <row r="45" spans="1:15" ht="15" customHeight="1" x14ac:dyDescent="0.2">
      <c r="A45" s="525"/>
      <c r="B45" s="150"/>
      <c r="C45" s="121" t="s">
        <v>455</v>
      </c>
      <c r="D45" s="119"/>
      <c r="E45" s="147">
        <f>IFERROR(VLOOKUP(B45,'Tabla Honorarios 2023'!$A$27:$H$60,7,0),0)</f>
        <v>0</v>
      </c>
      <c r="F45" s="151"/>
      <c r="G45" s="144"/>
      <c r="H45" s="144"/>
      <c r="I45" s="147">
        <f t="shared" si="0"/>
        <v>0</v>
      </c>
      <c r="J45" s="147">
        <f t="shared" si="1"/>
        <v>0</v>
      </c>
      <c r="K45" s="521"/>
      <c r="L45" s="149">
        <f>SUMIFS(TablaViaticos2021!$D$6:$D$17,TablaViaticos2021!$A$6:$A$17,Calculos!B45)</f>
        <v>0</v>
      </c>
      <c r="M45" s="149">
        <f t="shared" si="2"/>
        <v>0</v>
      </c>
      <c r="N45" s="518"/>
      <c r="O45" s="518"/>
    </row>
    <row r="46" spans="1:15" ht="15" customHeight="1" x14ac:dyDescent="0.2">
      <c r="A46" s="525"/>
      <c r="B46" s="150"/>
      <c r="C46" s="121"/>
      <c r="D46" s="119"/>
      <c r="E46" s="147">
        <f>IFERROR(VLOOKUP(B46,'Tabla Honorarios 2023'!$A$27:$H$60,7,0),0)</f>
        <v>0</v>
      </c>
      <c r="F46" s="151"/>
      <c r="G46" s="144"/>
      <c r="H46" s="144"/>
      <c r="I46" s="147">
        <f t="shared" si="0"/>
        <v>0</v>
      </c>
      <c r="J46" s="147">
        <f t="shared" si="1"/>
        <v>0</v>
      </c>
      <c r="K46" s="521"/>
      <c r="L46" s="149">
        <f>SUMIFS(TablaViaticos2021!$D$6:$D$17,TablaViaticos2021!$A$6:$A$17,Calculos!B46)</f>
        <v>0</v>
      </c>
      <c r="M46" s="149">
        <f t="shared" si="2"/>
        <v>0</v>
      </c>
      <c r="N46" s="518"/>
      <c r="O46" s="518"/>
    </row>
    <row r="47" spans="1:15" ht="15" customHeight="1" x14ac:dyDescent="0.2">
      <c r="A47" s="525"/>
      <c r="B47" s="150"/>
      <c r="C47" s="121"/>
      <c r="D47" s="119"/>
      <c r="E47" s="147">
        <f>IFERROR(VLOOKUP(B47,'Tabla Honorarios 2023'!$A$27:$H$60,7,0),0)</f>
        <v>0</v>
      </c>
      <c r="F47" s="151"/>
      <c r="G47" s="144"/>
      <c r="H47" s="144"/>
      <c r="I47" s="147">
        <f t="shared" si="0"/>
        <v>0</v>
      </c>
      <c r="J47" s="147">
        <f t="shared" si="1"/>
        <v>0</v>
      </c>
      <c r="K47" s="521"/>
      <c r="L47" s="149">
        <f>SUMIFS(TablaViaticos2021!$D$6:$D$17,TablaViaticos2021!$A$6:$A$17,Calculos!B47)</f>
        <v>0</v>
      </c>
      <c r="M47" s="149">
        <f t="shared" si="2"/>
        <v>0</v>
      </c>
      <c r="N47" s="518"/>
      <c r="O47" s="518"/>
    </row>
    <row r="48" spans="1:15" ht="15" customHeight="1" x14ac:dyDescent="0.2">
      <c r="A48" s="525"/>
      <c r="B48" s="150"/>
      <c r="C48" s="121"/>
      <c r="D48" s="119"/>
      <c r="E48" s="147">
        <f>IFERROR(VLOOKUP(B48,'Tabla Honorarios 2023'!$A$27:$H$60,7,0),0)</f>
        <v>0</v>
      </c>
      <c r="F48" s="151"/>
      <c r="G48" s="144"/>
      <c r="H48" s="144"/>
      <c r="I48" s="147">
        <f t="shared" si="0"/>
        <v>0</v>
      </c>
      <c r="J48" s="147">
        <f t="shared" si="1"/>
        <v>0</v>
      </c>
      <c r="K48" s="521"/>
      <c r="L48" s="149">
        <f>SUMIFS(TablaViaticos2021!$D$6:$D$17,TablaViaticos2021!$A$6:$A$17,Calculos!B48)</f>
        <v>0</v>
      </c>
      <c r="M48" s="149">
        <f t="shared" si="2"/>
        <v>0</v>
      </c>
      <c r="N48" s="518"/>
      <c r="O48" s="518"/>
    </row>
    <row r="49" spans="1:15" ht="15" customHeight="1" x14ac:dyDescent="0.2">
      <c r="A49" s="525"/>
      <c r="B49" s="150"/>
      <c r="C49" s="121"/>
      <c r="D49" s="119"/>
      <c r="E49" s="147">
        <f>IFERROR(VLOOKUP(B49,'Tabla Honorarios 2023'!$A$27:$H$60,7,0),0)</f>
        <v>0</v>
      </c>
      <c r="F49" s="151"/>
      <c r="G49" s="144"/>
      <c r="H49" s="144"/>
      <c r="I49" s="147">
        <f t="shared" si="0"/>
        <v>0</v>
      </c>
      <c r="J49" s="147">
        <f t="shared" si="1"/>
        <v>0</v>
      </c>
      <c r="K49" s="521"/>
      <c r="L49" s="149">
        <f>SUMIFS(TablaViaticos2021!$D$6:$D$17,TablaViaticos2021!$A$6:$A$17,Calculos!B49)</f>
        <v>0</v>
      </c>
      <c r="M49" s="149">
        <f t="shared" si="2"/>
        <v>0</v>
      </c>
      <c r="N49" s="518"/>
      <c r="O49" s="518"/>
    </row>
    <row r="50" spans="1:15" ht="15" customHeight="1" x14ac:dyDescent="0.2">
      <c r="A50" s="525"/>
      <c r="B50" s="150"/>
      <c r="C50" s="121"/>
      <c r="D50" s="119"/>
      <c r="E50" s="147">
        <f>IFERROR(VLOOKUP(B50,'Tabla Honorarios 2023'!$A$27:$H$60,7,0),0)</f>
        <v>0</v>
      </c>
      <c r="F50" s="151"/>
      <c r="G50" s="144"/>
      <c r="H50" s="144"/>
      <c r="I50" s="147">
        <f t="shared" si="0"/>
        <v>0</v>
      </c>
      <c r="J50" s="147">
        <f t="shared" si="1"/>
        <v>0</v>
      </c>
      <c r="K50" s="521"/>
      <c r="L50" s="149">
        <f>SUMIFS(TablaViaticos2021!$D$6:$D$17,TablaViaticos2021!$A$6:$A$17,Calculos!B50)</f>
        <v>0</v>
      </c>
      <c r="M50" s="149">
        <f t="shared" si="2"/>
        <v>0</v>
      </c>
      <c r="N50" s="518"/>
      <c r="O50" s="518"/>
    </row>
    <row r="51" spans="1:15" ht="15" customHeight="1" x14ac:dyDescent="0.2">
      <c r="A51" s="525"/>
      <c r="B51" s="150"/>
      <c r="C51" s="121"/>
      <c r="D51" s="119"/>
      <c r="E51" s="147">
        <f>IFERROR(VLOOKUP(B51,'Tabla Honorarios 2023'!$A$27:$H$60,7,0),0)</f>
        <v>0</v>
      </c>
      <c r="F51" s="151"/>
      <c r="G51" s="144"/>
      <c r="H51" s="144"/>
      <c r="I51" s="147">
        <f t="shared" si="0"/>
        <v>0</v>
      </c>
      <c r="J51" s="147">
        <f t="shared" si="1"/>
        <v>0</v>
      </c>
      <c r="K51" s="521"/>
      <c r="L51" s="149">
        <f>SUMIFS(TablaViaticos2021!$D$6:$D$17,TablaViaticos2021!$A$6:$A$17,Calculos!B51)</f>
        <v>0</v>
      </c>
      <c r="M51" s="149">
        <f t="shared" si="2"/>
        <v>0</v>
      </c>
      <c r="N51" s="518"/>
      <c r="O51" s="518"/>
    </row>
    <row r="52" spans="1:15" ht="15" customHeight="1" x14ac:dyDescent="0.2">
      <c r="A52" s="525"/>
      <c r="B52" s="150"/>
      <c r="C52" s="121"/>
      <c r="D52" s="119"/>
      <c r="E52" s="147">
        <f>IFERROR(VLOOKUP(B52,'Tabla Honorarios 2023'!$A$27:$H$60,7,0),0)</f>
        <v>0</v>
      </c>
      <c r="F52" s="151"/>
      <c r="G52" s="144"/>
      <c r="H52" s="144"/>
      <c r="I52" s="147">
        <f t="shared" si="0"/>
        <v>0</v>
      </c>
      <c r="J52" s="147">
        <f t="shared" si="1"/>
        <v>0</v>
      </c>
      <c r="K52" s="522"/>
      <c r="L52" s="149">
        <f>SUMIFS(TablaViaticos2021!$D$6:$D$17,TablaViaticos2021!$A$6:$A$17,Calculos!B52)</f>
        <v>0</v>
      </c>
      <c r="M52" s="149">
        <f t="shared" si="2"/>
        <v>0</v>
      </c>
      <c r="N52" s="519"/>
      <c r="O52" s="519"/>
    </row>
    <row r="53" spans="1:15" ht="15" customHeight="1" x14ac:dyDescent="0.2">
      <c r="A53" s="525" t="s">
        <v>440</v>
      </c>
      <c r="B53" s="150"/>
      <c r="C53" s="121" t="s">
        <v>448</v>
      </c>
      <c r="D53" s="119"/>
      <c r="E53" s="147">
        <f>IFERROR(VLOOKUP(B53,'Tabla Honorarios 2023'!$A$27:$H$60,7,0),0)</f>
        <v>0</v>
      </c>
      <c r="F53" s="151"/>
      <c r="G53" s="144"/>
      <c r="H53" s="144"/>
      <c r="I53" s="147">
        <f t="shared" si="0"/>
        <v>0</v>
      </c>
      <c r="J53" s="147">
        <f t="shared" si="1"/>
        <v>0</v>
      </c>
      <c r="K53" s="520">
        <f t="shared" ref="K53" si="14">SUM(J53:J62)</f>
        <v>0</v>
      </c>
      <c r="L53" s="149">
        <f>SUMIFS(TablaViaticos2021!$D$6:$D$17,TablaViaticos2021!$A$6:$A$17,Calculos!B53)</f>
        <v>0</v>
      </c>
      <c r="M53" s="149">
        <f t="shared" si="2"/>
        <v>0</v>
      </c>
      <c r="N53" s="517">
        <f t="shared" ref="N53" si="15">SUM(M53:M62)</f>
        <v>0</v>
      </c>
      <c r="O53" s="517">
        <f t="shared" ref="O53" si="16">K53+N53</f>
        <v>0</v>
      </c>
    </row>
    <row r="54" spans="1:15" ht="15" customHeight="1" x14ac:dyDescent="0.2">
      <c r="A54" s="525"/>
      <c r="B54" s="150"/>
      <c r="C54" s="121" t="s">
        <v>449</v>
      </c>
      <c r="D54" s="119"/>
      <c r="E54" s="147">
        <f>IFERROR(VLOOKUP(B54,'Tabla Honorarios 2023'!$A$27:$H$60,7,0),0)</f>
        <v>0</v>
      </c>
      <c r="F54" s="151"/>
      <c r="G54" s="144"/>
      <c r="H54" s="144"/>
      <c r="I54" s="147">
        <f t="shared" si="0"/>
        <v>0</v>
      </c>
      <c r="J54" s="147">
        <f t="shared" si="1"/>
        <v>0</v>
      </c>
      <c r="K54" s="521"/>
      <c r="L54" s="149">
        <f>SUMIFS(TablaViaticos2021!$D$6:$D$17,TablaViaticos2021!$A$6:$A$17,Calculos!B54)</f>
        <v>0</v>
      </c>
      <c r="M54" s="149">
        <f t="shared" si="2"/>
        <v>0</v>
      </c>
      <c r="N54" s="518"/>
      <c r="O54" s="518"/>
    </row>
    <row r="55" spans="1:15" ht="15" customHeight="1" x14ac:dyDescent="0.2">
      <c r="A55" s="525"/>
      <c r="B55" s="150"/>
      <c r="C55" s="121" t="s">
        <v>456</v>
      </c>
      <c r="D55" s="119"/>
      <c r="E55" s="147">
        <f>IFERROR(VLOOKUP(B55,'Tabla Honorarios 2023'!$A$27:$H$60,7,0),0)</f>
        <v>0</v>
      </c>
      <c r="F55" s="151"/>
      <c r="G55" s="144"/>
      <c r="H55" s="144"/>
      <c r="I55" s="147">
        <f t="shared" si="0"/>
        <v>0</v>
      </c>
      <c r="J55" s="147">
        <f t="shared" si="1"/>
        <v>0</v>
      </c>
      <c r="K55" s="521"/>
      <c r="L55" s="149">
        <f>SUMIFS(TablaViaticos2021!$D$6:$D$17,TablaViaticos2021!$A$6:$A$17,Calculos!B55)</f>
        <v>0</v>
      </c>
      <c r="M55" s="149">
        <f t="shared" si="2"/>
        <v>0</v>
      </c>
      <c r="N55" s="518"/>
      <c r="O55" s="518"/>
    </row>
    <row r="56" spans="1:15" ht="15" customHeight="1" x14ac:dyDescent="0.2">
      <c r="A56" s="525"/>
      <c r="B56" s="150"/>
      <c r="C56" s="121"/>
      <c r="D56" s="119"/>
      <c r="E56" s="147">
        <f>IFERROR(VLOOKUP(B56,'Tabla Honorarios 2023'!$A$27:$H$60,7,0),0)</f>
        <v>0</v>
      </c>
      <c r="F56" s="151"/>
      <c r="G56" s="144"/>
      <c r="H56" s="144"/>
      <c r="I56" s="147">
        <f t="shared" si="0"/>
        <v>0</v>
      </c>
      <c r="J56" s="147">
        <f t="shared" si="1"/>
        <v>0</v>
      </c>
      <c r="K56" s="521"/>
      <c r="L56" s="149">
        <f>SUMIFS(TablaViaticos2021!$D$6:$D$17,TablaViaticos2021!$A$6:$A$17,Calculos!B56)</f>
        <v>0</v>
      </c>
      <c r="M56" s="149">
        <f t="shared" si="2"/>
        <v>0</v>
      </c>
      <c r="N56" s="518"/>
      <c r="O56" s="518"/>
    </row>
    <row r="57" spans="1:15" ht="15" customHeight="1" x14ac:dyDescent="0.2">
      <c r="A57" s="525"/>
      <c r="B57" s="150"/>
      <c r="C57" s="121"/>
      <c r="D57" s="119"/>
      <c r="E57" s="147">
        <f>IFERROR(VLOOKUP(B57,'Tabla Honorarios 2023'!$A$27:$H$60,7,0),0)</f>
        <v>0</v>
      </c>
      <c r="F57" s="151"/>
      <c r="G57" s="144"/>
      <c r="H57" s="144"/>
      <c r="I57" s="147">
        <f t="shared" si="0"/>
        <v>0</v>
      </c>
      <c r="J57" s="147">
        <f t="shared" si="1"/>
        <v>0</v>
      </c>
      <c r="K57" s="521"/>
      <c r="L57" s="149">
        <f>SUMIFS(TablaViaticos2021!$D$6:$D$17,TablaViaticos2021!$A$6:$A$17,Calculos!B57)</f>
        <v>0</v>
      </c>
      <c r="M57" s="149">
        <f t="shared" si="2"/>
        <v>0</v>
      </c>
      <c r="N57" s="518"/>
      <c r="O57" s="518"/>
    </row>
    <row r="58" spans="1:15" ht="15" customHeight="1" x14ac:dyDescent="0.2">
      <c r="A58" s="525"/>
      <c r="B58" s="150"/>
      <c r="C58" s="121"/>
      <c r="D58" s="119"/>
      <c r="E58" s="147">
        <f>IFERROR(VLOOKUP(B58,'Tabla Honorarios 2023'!$A$27:$H$60,7,0),0)</f>
        <v>0</v>
      </c>
      <c r="F58" s="151"/>
      <c r="G58" s="144"/>
      <c r="H58" s="144"/>
      <c r="I58" s="147">
        <f t="shared" si="0"/>
        <v>0</v>
      </c>
      <c r="J58" s="147">
        <f t="shared" si="1"/>
        <v>0</v>
      </c>
      <c r="K58" s="521"/>
      <c r="L58" s="149">
        <f>SUMIFS(TablaViaticos2021!$D$6:$D$17,TablaViaticos2021!$A$6:$A$17,Calculos!B58)</f>
        <v>0</v>
      </c>
      <c r="M58" s="149">
        <f t="shared" si="2"/>
        <v>0</v>
      </c>
      <c r="N58" s="518"/>
      <c r="O58" s="518"/>
    </row>
    <row r="59" spans="1:15" ht="15" customHeight="1" x14ac:dyDescent="0.2">
      <c r="A59" s="525"/>
      <c r="B59" s="150"/>
      <c r="C59" s="121"/>
      <c r="D59" s="119"/>
      <c r="E59" s="147">
        <f>IFERROR(VLOOKUP(B59,'Tabla Honorarios 2023'!$A$27:$H$60,7,0),0)</f>
        <v>0</v>
      </c>
      <c r="F59" s="151"/>
      <c r="G59" s="144"/>
      <c r="H59" s="144"/>
      <c r="I59" s="147">
        <f t="shared" si="0"/>
        <v>0</v>
      </c>
      <c r="J59" s="147">
        <f t="shared" si="1"/>
        <v>0</v>
      </c>
      <c r="K59" s="521"/>
      <c r="L59" s="149">
        <f>SUMIFS(TablaViaticos2021!$D$6:$D$17,TablaViaticos2021!$A$6:$A$17,Calculos!B59)</f>
        <v>0</v>
      </c>
      <c r="M59" s="149">
        <f t="shared" si="2"/>
        <v>0</v>
      </c>
      <c r="N59" s="518"/>
      <c r="O59" s="518"/>
    </row>
    <row r="60" spans="1:15" ht="15" customHeight="1" x14ac:dyDescent="0.2">
      <c r="A60" s="525"/>
      <c r="B60" s="150"/>
      <c r="C60" s="121"/>
      <c r="D60" s="119"/>
      <c r="E60" s="147">
        <f>IFERROR(VLOOKUP(B60,'Tabla Honorarios 2023'!$A$27:$H$60,7,0),0)</f>
        <v>0</v>
      </c>
      <c r="F60" s="151"/>
      <c r="G60" s="144"/>
      <c r="H60" s="144"/>
      <c r="I60" s="147">
        <f t="shared" si="0"/>
        <v>0</v>
      </c>
      <c r="J60" s="147">
        <f t="shared" si="1"/>
        <v>0</v>
      </c>
      <c r="K60" s="521"/>
      <c r="L60" s="149">
        <f>SUMIFS(TablaViaticos2021!$D$6:$D$17,TablaViaticos2021!$A$6:$A$17,Calculos!B60)</f>
        <v>0</v>
      </c>
      <c r="M60" s="149">
        <f t="shared" si="2"/>
        <v>0</v>
      </c>
      <c r="N60" s="518"/>
      <c r="O60" s="518"/>
    </row>
    <row r="61" spans="1:15" ht="15" customHeight="1" x14ac:dyDescent="0.2">
      <c r="A61" s="525"/>
      <c r="B61" s="150"/>
      <c r="C61" s="121"/>
      <c r="D61" s="119"/>
      <c r="E61" s="147">
        <f>IFERROR(VLOOKUP(B61,'Tabla Honorarios 2023'!$A$27:$H$60,7,0),0)</f>
        <v>0</v>
      </c>
      <c r="F61" s="151"/>
      <c r="G61" s="144"/>
      <c r="H61" s="144"/>
      <c r="I61" s="147">
        <f t="shared" si="0"/>
        <v>0</v>
      </c>
      <c r="J61" s="147">
        <f t="shared" si="1"/>
        <v>0</v>
      </c>
      <c r="K61" s="521"/>
      <c r="L61" s="149">
        <f>SUMIFS(TablaViaticos2021!$D$6:$D$17,TablaViaticos2021!$A$6:$A$17,Calculos!B61)</f>
        <v>0</v>
      </c>
      <c r="M61" s="149">
        <f t="shared" si="2"/>
        <v>0</v>
      </c>
      <c r="N61" s="518"/>
      <c r="O61" s="518"/>
    </row>
    <row r="62" spans="1:15" ht="15" customHeight="1" x14ac:dyDescent="0.2">
      <c r="A62" s="525"/>
      <c r="B62" s="150"/>
      <c r="C62" s="121"/>
      <c r="D62" s="119"/>
      <c r="E62" s="147">
        <f>IFERROR(VLOOKUP(B62,'Tabla Honorarios 2023'!$A$27:$H$60,7,0),0)</f>
        <v>0</v>
      </c>
      <c r="F62" s="151"/>
      <c r="G62" s="144"/>
      <c r="H62" s="144"/>
      <c r="I62" s="147">
        <f t="shared" si="0"/>
        <v>0</v>
      </c>
      <c r="J62" s="147">
        <f t="shared" si="1"/>
        <v>0</v>
      </c>
      <c r="K62" s="522"/>
      <c r="L62" s="149">
        <f>SUMIFS(TablaViaticos2021!$D$6:$D$17,TablaViaticos2021!$A$6:$A$17,Calculos!B62)</f>
        <v>0</v>
      </c>
      <c r="M62" s="149">
        <f t="shared" si="2"/>
        <v>0</v>
      </c>
      <c r="N62" s="519"/>
      <c r="O62" s="519"/>
    </row>
    <row r="63" spans="1:15" ht="15" customHeight="1" x14ac:dyDescent="0.2">
      <c r="A63" s="525" t="s">
        <v>441</v>
      </c>
      <c r="B63" s="150"/>
      <c r="C63" s="121" t="s">
        <v>448</v>
      </c>
      <c r="D63" s="119"/>
      <c r="E63" s="147">
        <f>IFERROR(VLOOKUP(B63,'Tabla Honorarios 2023'!$A$27:$H$60,7,0),0)</f>
        <v>0</v>
      </c>
      <c r="F63" s="151"/>
      <c r="G63" s="144"/>
      <c r="H63" s="144"/>
      <c r="I63" s="147">
        <f t="shared" si="0"/>
        <v>0</v>
      </c>
      <c r="J63" s="147">
        <f t="shared" si="1"/>
        <v>0</v>
      </c>
      <c r="K63" s="520">
        <f t="shared" ref="K63" si="17">SUM(J63:J72)</f>
        <v>0</v>
      </c>
      <c r="L63" s="149">
        <f>SUMIFS(TablaViaticos2021!$D$6:$D$17,TablaViaticos2021!$A$6:$A$17,Calculos!B63)</f>
        <v>0</v>
      </c>
      <c r="M63" s="149">
        <f t="shared" si="2"/>
        <v>0</v>
      </c>
      <c r="N63" s="517">
        <f t="shared" ref="N63" si="18">SUM(M63:M72)</f>
        <v>0</v>
      </c>
      <c r="O63" s="517">
        <f t="shared" ref="O63" si="19">K63+N63</f>
        <v>0</v>
      </c>
    </row>
    <row r="64" spans="1:15" ht="15" customHeight="1" x14ac:dyDescent="0.2">
      <c r="A64" s="525"/>
      <c r="B64" s="150"/>
      <c r="C64" s="121" t="s">
        <v>449</v>
      </c>
      <c r="D64" s="119"/>
      <c r="E64" s="147">
        <f>IFERROR(VLOOKUP(B64,'Tabla Honorarios 2023'!$A$27:$H$60,7,0),0)</f>
        <v>0</v>
      </c>
      <c r="F64" s="151"/>
      <c r="G64" s="144"/>
      <c r="H64" s="144"/>
      <c r="I64" s="147">
        <f t="shared" si="0"/>
        <v>0</v>
      </c>
      <c r="J64" s="147">
        <f t="shared" si="1"/>
        <v>0</v>
      </c>
      <c r="K64" s="521"/>
      <c r="L64" s="149">
        <f>SUMIFS(TablaViaticos2021!$D$6:$D$17,TablaViaticos2021!$A$6:$A$17,Calculos!B64)</f>
        <v>0</v>
      </c>
      <c r="M64" s="149">
        <f t="shared" si="2"/>
        <v>0</v>
      </c>
      <c r="N64" s="518"/>
      <c r="O64" s="518"/>
    </row>
    <row r="65" spans="1:15" ht="15" customHeight="1" x14ac:dyDescent="0.2">
      <c r="A65" s="525"/>
      <c r="B65" s="150"/>
      <c r="C65" s="121" t="s">
        <v>455</v>
      </c>
      <c r="D65" s="119"/>
      <c r="E65" s="147">
        <f>IFERROR(VLOOKUP(B65,'Tabla Honorarios 2023'!$A$27:$H$60,7,0),0)</f>
        <v>0</v>
      </c>
      <c r="F65" s="151"/>
      <c r="G65" s="144"/>
      <c r="H65" s="144"/>
      <c r="I65" s="147">
        <f t="shared" si="0"/>
        <v>0</v>
      </c>
      <c r="J65" s="147">
        <f t="shared" si="1"/>
        <v>0</v>
      </c>
      <c r="K65" s="521"/>
      <c r="L65" s="149">
        <f>SUMIFS(TablaViaticos2021!$D$6:$D$17,TablaViaticos2021!$A$6:$A$17,Calculos!B65)</f>
        <v>0</v>
      </c>
      <c r="M65" s="149">
        <f t="shared" si="2"/>
        <v>0</v>
      </c>
      <c r="N65" s="518"/>
      <c r="O65" s="518"/>
    </row>
    <row r="66" spans="1:15" ht="15" customHeight="1" x14ac:dyDescent="0.2">
      <c r="A66" s="525"/>
      <c r="B66" s="150"/>
      <c r="C66" s="121"/>
      <c r="D66" s="119"/>
      <c r="E66" s="147">
        <f>IFERROR(VLOOKUP(B66,'Tabla Honorarios 2023'!$A$27:$H$60,7,0),0)</f>
        <v>0</v>
      </c>
      <c r="F66" s="151"/>
      <c r="G66" s="144"/>
      <c r="H66" s="144"/>
      <c r="I66" s="147">
        <f t="shared" si="0"/>
        <v>0</v>
      </c>
      <c r="J66" s="147">
        <f t="shared" si="1"/>
        <v>0</v>
      </c>
      <c r="K66" s="521"/>
      <c r="L66" s="149">
        <f>SUMIFS(TablaViaticos2021!$D$6:$D$17,TablaViaticos2021!$A$6:$A$17,Calculos!B66)</f>
        <v>0</v>
      </c>
      <c r="M66" s="149">
        <f t="shared" si="2"/>
        <v>0</v>
      </c>
      <c r="N66" s="518"/>
      <c r="O66" s="518"/>
    </row>
    <row r="67" spans="1:15" ht="15" customHeight="1" x14ac:dyDescent="0.2">
      <c r="A67" s="525"/>
      <c r="B67" s="150"/>
      <c r="C67" s="121"/>
      <c r="D67" s="119"/>
      <c r="E67" s="147">
        <f>IFERROR(VLOOKUP(B67,'Tabla Honorarios 2023'!$A$27:$H$60,7,0),0)</f>
        <v>0</v>
      </c>
      <c r="F67" s="151"/>
      <c r="G67" s="144"/>
      <c r="H67" s="144"/>
      <c r="I67" s="147">
        <f t="shared" si="0"/>
        <v>0</v>
      </c>
      <c r="J67" s="147">
        <f t="shared" si="1"/>
        <v>0</v>
      </c>
      <c r="K67" s="521"/>
      <c r="L67" s="149">
        <f>SUMIFS(TablaViaticos2021!$D$6:$D$17,TablaViaticos2021!$A$6:$A$17,Calculos!B67)</f>
        <v>0</v>
      </c>
      <c r="M67" s="149">
        <f t="shared" si="2"/>
        <v>0</v>
      </c>
      <c r="N67" s="518"/>
      <c r="O67" s="518"/>
    </row>
    <row r="68" spans="1:15" ht="15" customHeight="1" x14ac:dyDescent="0.2">
      <c r="A68" s="525"/>
      <c r="B68" s="150"/>
      <c r="C68" s="121"/>
      <c r="D68" s="119"/>
      <c r="E68" s="147">
        <f>IFERROR(VLOOKUP(B68,'Tabla Honorarios 2023'!$A$27:$H$60,7,0),0)</f>
        <v>0</v>
      </c>
      <c r="F68" s="151"/>
      <c r="G68" s="144"/>
      <c r="H68" s="144"/>
      <c r="I68" s="147">
        <f t="shared" ref="I68:I131" si="20">G68*H68</f>
        <v>0</v>
      </c>
      <c r="J68" s="147">
        <f t="shared" ref="J68:J131" si="21">(E68*F68)*I68</f>
        <v>0</v>
      </c>
      <c r="K68" s="521"/>
      <c r="L68" s="149">
        <f>SUMIFS(TablaViaticos2021!$D$6:$D$17,TablaViaticos2021!$A$6:$A$17,Calculos!B68)</f>
        <v>0</v>
      </c>
      <c r="M68" s="149">
        <f t="shared" ref="M68:M131" si="22">I68*L68</f>
        <v>0</v>
      </c>
      <c r="N68" s="518"/>
      <c r="O68" s="518"/>
    </row>
    <row r="69" spans="1:15" ht="15" customHeight="1" x14ac:dyDescent="0.2">
      <c r="A69" s="525"/>
      <c r="B69" s="150"/>
      <c r="C69" s="121"/>
      <c r="D69" s="119"/>
      <c r="E69" s="147">
        <f>IFERROR(VLOOKUP(B69,'Tabla Honorarios 2023'!$A$27:$H$60,7,0),0)</f>
        <v>0</v>
      </c>
      <c r="F69" s="151"/>
      <c r="G69" s="144"/>
      <c r="H69" s="144"/>
      <c r="I69" s="147">
        <f t="shared" si="20"/>
        <v>0</v>
      </c>
      <c r="J69" s="147">
        <f t="shared" si="21"/>
        <v>0</v>
      </c>
      <c r="K69" s="521"/>
      <c r="L69" s="149">
        <f>SUMIFS(TablaViaticos2021!$D$6:$D$17,TablaViaticos2021!$A$6:$A$17,Calculos!B69)</f>
        <v>0</v>
      </c>
      <c r="M69" s="149">
        <f t="shared" si="22"/>
        <v>0</v>
      </c>
      <c r="N69" s="518"/>
      <c r="O69" s="518"/>
    </row>
    <row r="70" spans="1:15" ht="15" customHeight="1" x14ac:dyDescent="0.2">
      <c r="A70" s="525"/>
      <c r="B70" s="150"/>
      <c r="C70" s="121"/>
      <c r="D70" s="119"/>
      <c r="E70" s="147">
        <f>IFERROR(VLOOKUP(B70,'Tabla Honorarios 2023'!$A$27:$H$60,7,0),0)</f>
        <v>0</v>
      </c>
      <c r="F70" s="151"/>
      <c r="G70" s="144"/>
      <c r="H70" s="144"/>
      <c r="I70" s="147">
        <f t="shared" si="20"/>
        <v>0</v>
      </c>
      <c r="J70" s="147">
        <f t="shared" si="21"/>
        <v>0</v>
      </c>
      <c r="K70" s="521"/>
      <c r="L70" s="149">
        <f>SUMIFS(TablaViaticos2021!$D$6:$D$17,TablaViaticos2021!$A$6:$A$17,Calculos!B70)</f>
        <v>0</v>
      </c>
      <c r="M70" s="149">
        <f t="shared" si="22"/>
        <v>0</v>
      </c>
      <c r="N70" s="518"/>
      <c r="O70" s="518"/>
    </row>
    <row r="71" spans="1:15" ht="15" customHeight="1" x14ac:dyDescent="0.2">
      <c r="A71" s="525"/>
      <c r="B71" s="150"/>
      <c r="C71" s="121"/>
      <c r="D71" s="119"/>
      <c r="E71" s="147">
        <f>IFERROR(VLOOKUP(B71,'Tabla Honorarios 2023'!$A$27:$H$60,7,0),0)</f>
        <v>0</v>
      </c>
      <c r="F71" s="151"/>
      <c r="G71" s="144"/>
      <c r="H71" s="144"/>
      <c r="I71" s="147">
        <f t="shared" si="20"/>
        <v>0</v>
      </c>
      <c r="J71" s="147">
        <f t="shared" si="21"/>
        <v>0</v>
      </c>
      <c r="K71" s="521"/>
      <c r="L71" s="149">
        <f>SUMIFS(TablaViaticos2021!$D$6:$D$17,TablaViaticos2021!$A$6:$A$17,Calculos!B71)</f>
        <v>0</v>
      </c>
      <c r="M71" s="149">
        <f t="shared" si="22"/>
        <v>0</v>
      </c>
      <c r="N71" s="518"/>
      <c r="O71" s="518"/>
    </row>
    <row r="72" spans="1:15" ht="15" customHeight="1" x14ac:dyDescent="0.2">
      <c r="A72" s="525"/>
      <c r="B72" s="150"/>
      <c r="C72" s="121"/>
      <c r="D72" s="119"/>
      <c r="E72" s="147">
        <f>IFERROR(VLOOKUP(B72,'Tabla Honorarios 2023'!$A$27:$H$60,7,0),0)</f>
        <v>0</v>
      </c>
      <c r="F72" s="151"/>
      <c r="G72" s="144"/>
      <c r="H72" s="144"/>
      <c r="I72" s="147">
        <f t="shared" si="20"/>
        <v>0</v>
      </c>
      <c r="J72" s="147">
        <f t="shared" si="21"/>
        <v>0</v>
      </c>
      <c r="K72" s="522"/>
      <c r="L72" s="149">
        <f>SUMIFS(TablaViaticos2021!$D$6:$D$17,TablaViaticos2021!$A$6:$A$17,Calculos!B72)</f>
        <v>0</v>
      </c>
      <c r="M72" s="149">
        <f t="shared" si="22"/>
        <v>0</v>
      </c>
      <c r="N72" s="519"/>
      <c r="O72" s="519"/>
    </row>
    <row r="73" spans="1:15" ht="15" customHeight="1" x14ac:dyDescent="0.2">
      <c r="A73" s="525" t="s">
        <v>442</v>
      </c>
      <c r="B73" s="150"/>
      <c r="C73" s="121" t="s">
        <v>448</v>
      </c>
      <c r="D73" s="119"/>
      <c r="E73" s="147">
        <f>IFERROR(VLOOKUP(B73,'Tabla Honorarios 2023'!$A$27:$H$60,7,0),0)</f>
        <v>0</v>
      </c>
      <c r="F73" s="151"/>
      <c r="G73" s="144"/>
      <c r="H73" s="144"/>
      <c r="I73" s="147">
        <f t="shared" si="20"/>
        <v>0</v>
      </c>
      <c r="J73" s="147">
        <f t="shared" si="21"/>
        <v>0</v>
      </c>
      <c r="K73" s="520">
        <f t="shared" ref="K73" si="23">SUM(J73:J82)</f>
        <v>0</v>
      </c>
      <c r="L73" s="149">
        <f>SUMIFS(TablaViaticos2021!$D$6:$D$17,TablaViaticos2021!$A$6:$A$17,Calculos!B73)</f>
        <v>0</v>
      </c>
      <c r="M73" s="149">
        <f t="shared" si="22"/>
        <v>0</v>
      </c>
      <c r="N73" s="517">
        <f t="shared" ref="N73" si="24">SUM(M73:M82)</f>
        <v>0</v>
      </c>
      <c r="O73" s="517">
        <f t="shared" ref="O73" si="25">K73+N73</f>
        <v>0</v>
      </c>
    </row>
    <row r="74" spans="1:15" ht="15" customHeight="1" x14ac:dyDescent="0.2">
      <c r="A74" s="525"/>
      <c r="B74" s="150"/>
      <c r="C74" s="121" t="s">
        <v>449</v>
      </c>
      <c r="D74" s="119"/>
      <c r="E74" s="147">
        <f>IFERROR(VLOOKUP(B74,'Tabla Honorarios 2023'!$A$27:$H$60,7,0),0)</f>
        <v>0</v>
      </c>
      <c r="F74" s="151"/>
      <c r="G74" s="144"/>
      <c r="H74" s="144"/>
      <c r="I74" s="147">
        <f t="shared" si="20"/>
        <v>0</v>
      </c>
      <c r="J74" s="147">
        <f t="shared" si="21"/>
        <v>0</v>
      </c>
      <c r="K74" s="521"/>
      <c r="L74" s="149">
        <f>SUMIFS(TablaViaticos2021!$D$6:$D$17,TablaViaticos2021!$A$6:$A$17,Calculos!B74)</f>
        <v>0</v>
      </c>
      <c r="M74" s="149">
        <f t="shared" si="22"/>
        <v>0</v>
      </c>
      <c r="N74" s="518"/>
      <c r="O74" s="518"/>
    </row>
    <row r="75" spans="1:15" ht="15" customHeight="1" x14ac:dyDescent="0.2">
      <c r="A75" s="525"/>
      <c r="B75" s="150"/>
      <c r="C75" s="121" t="s">
        <v>456</v>
      </c>
      <c r="D75" s="119"/>
      <c r="E75" s="147">
        <f>IFERROR(VLOOKUP(B75,'Tabla Honorarios 2023'!$A$27:$H$60,7,0),0)</f>
        <v>0</v>
      </c>
      <c r="F75" s="151"/>
      <c r="G75" s="144"/>
      <c r="H75" s="144"/>
      <c r="I75" s="147">
        <f t="shared" si="20"/>
        <v>0</v>
      </c>
      <c r="J75" s="147">
        <f t="shared" si="21"/>
        <v>0</v>
      </c>
      <c r="K75" s="521"/>
      <c r="L75" s="149">
        <f>SUMIFS(TablaViaticos2021!$D$6:$D$17,TablaViaticos2021!$A$6:$A$17,Calculos!B75)</f>
        <v>0</v>
      </c>
      <c r="M75" s="149">
        <f t="shared" si="22"/>
        <v>0</v>
      </c>
      <c r="N75" s="518"/>
      <c r="O75" s="518"/>
    </row>
    <row r="76" spans="1:15" ht="15" customHeight="1" x14ac:dyDescent="0.2">
      <c r="A76" s="525"/>
      <c r="B76" s="150"/>
      <c r="C76" s="121"/>
      <c r="D76" s="119"/>
      <c r="E76" s="147">
        <f>IFERROR(VLOOKUP(B76,'Tabla Honorarios 2023'!$A$27:$H$60,7,0),0)</f>
        <v>0</v>
      </c>
      <c r="F76" s="151"/>
      <c r="G76" s="144"/>
      <c r="H76" s="144"/>
      <c r="I76" s="147">
        <f t="shared" si="20"/>
        <v>0</v>
      </c>
      <c r="J76" s="147">
        <f t="shared" si="21"/>
        <v>0</v>
      </c>
      <c r="K76" s="521"/>
      <c r="L76" s="149">
        <f>SUMIFS(TablaViaticos2021!$D$6:$D$17,TablaViaticos2021!$A$6:$A$17,Calculos!B76)</f>
        <v>0</v>
      </c>
      <c r="M76" s="149">
        <f t="shared" si="22"/>
        <v>0</v>
      </c>
      <c r="N76" s="518"/>
      <c r="O76" s="518"/>
    </row>
    <row r="77" spans="1:15" ht="15" customHeight="1" x14ac:dyDescent="0.2">
      <c r="A77" s="525"/>
      <c r="B77" s="150"/>
      <c r="C77" s="121"/>
      <c r="D77" s="119"/>
      <c r="E77" s="147">
        <f>IFERROR(VLOOKUP(B77,'Tabla Honorarios 2023'!$A$27:$H$60,7,0),0)</f>
        <v>0</v>
      </c>
      <c r="F77" s="151"/>
      <c r="G77" s="144"/>
      <c r="H77" s="144"/>
      <c r="I77" s="147">
        <f t="shared" si="20"/>
        <v>0</v>
      </c>
      <c r="J77" s="147">
        <f t="shared" si="21"/>
        <v>0</v>
      </c>
      <c r="K77" s="521"/>
      <c r="L77" s="149">
        <f>SUMIFS(TablaViaticos2021!$D$6:$D$17,TablaViaticos2021!$A$6:$A$17,Calculos!B77)</f>
        <v>0</v>
      </c>
      <c r="M77" s="149">
        <f t="shared" si="22"/>
        <v>0</v>
      </c>
      <c r="N77" s="518"/>
      <c r="O77" s="518"/>
    </row>
    <row r="78" spans="1:15" ht="15" customHeight="1" x14ac:dyDescent="0.2">
      <c r="A78" s="525"/>
      <c r="B78" s="150"/>
      <c r="C78" s="121"/>
      <c r="D78" s="119"/>
      <c r="E78" s="147">
        <f>IFERROR(VLOOKUP(B78,'Tabla Honorarios 2023'!$A$27:$H$60,7,0),0)</f>
        <v>0</v>
      </c>
      <c r="F78" s="151"/>
      <c r="G78" s="144"/>
      <c r="H78" s="144"/>
      <c r="I78" s="147">
        <f t="shared" si="20"/>
        <v>0</v>
      </c>
      <c r="J78" s="147">
        <f t="shared" si="21"/>
        <v>0</v>
      </c>
      <c r="K78" s="521"/>
      <c r="L78" s="149">
        <f>SUMIFS(TablaViaticos2021!$D$6:$D$17,TablaViaticos2021!$A$6:$A$17,Calculos!B78)</f>
        <v>0</v>
      </c>
      <c r="M78" s="149">
        <f t="shared" si="22"/>
        <v>0</v>
      </c>
      <c r="N78" s="518"/>
      <c r="O78" s="518"/>
    </row>
    <row r="79" spans="1:15" ht="15" customHeight="1" x14ac:dyDescent="0.2">
      <c r="A79" s="525"/>
      <c r="B79" s="150"/>
      <c r="C79" s="121"/>
      <c r="D79" s="119"/>
      <c r="E79" s="147">
        <f>IFERROR(VLOOKUP(B79,'Tabla Honorarios 2023'!$A$27:$H$60,7,0),0)</f>
        <v>0</v>
      </c>
      <c r="F79" s="151"/>
      <c r="G79" s="144"/>
      <c r="H79" s="144"/>
      <c r="I79" s="147">
        <f t="shared" si="20"/>
        <v>0</v>
      </c>
      <c r="J79" s="147">
        <f t="shared" si="21"/>
        <v>0</v>
      </c>
      <c r="K79" s="521"/>
      <c r="L79" s="149">
        <f>SUMIFS(TablaViaticos2021!$D$6:$D$17,TablaViaticos2021!$A$6:$A$17,Calculos!B79)</f>
        <v>0</v>
      </c>
      <c r="M79" s="149">
        <f t="shared" si="22"/>
        <v>0</v>
      </c>
      <c r="N79" s="518"/>
      <c r="O79" s="518"/>
    </row>
    <row r="80" spans="1:15" ht="15" customHeight="1" x14ac:dyDescent="0.2">
      <c r="A80" s="525"/>
      <c r="B80" s="150"/>
      <c r="C80" s="121"/>
      <c r="D80" s="119"/>
      <c r="E80" s="147">
        <f>IFERROR(VLOOKUP(B80,'Tabla Honorarios 2023'!$A$27:$H$60,7,0),0)</f>
        <v>0</v>
      </c>
      <c r="F80" s="151"/>
      <c r="G80" s="144"/>
      <c r="H80" s="144"/>
      <c r="I80" s="147">
        <f t="shared" si="20"/>
        <v>0</v>
      </c>
      <c r="J80" s="147">
        <f t="shared" si="21"/>
        <v>0</v>
      </c>
      <c r="K80" s="521"/>
      <c r="L80" s="149">
        <f>SUMIFS(TablaViaticos2021!$D$6:$D$17,TablaViaticos2021!$A$6:$A$17,Calculos!B80)</f>
        <v>0</v>
      </c>
      <c r="M80" s="149">
        <f t="shared" si="22"/>
        <v>0</v>
      </c>
      <c r="N80" s="518"/>
      <c r="O80" s="518"/>
    </row>
    <row r="81" spans="1:15" ht="15" customHeight="1" x14ac:dyDescent="0.2">
      <c r="A81" s="525"/>
      <c r="B81" s="150"/>
      <c r="C81" s="121"/>
      <c r="D81" s="119"/>
      <c r="E81" s="147">
        <f>IFERROR(VLOOKUP(B81,'Tabla Honorarios 2023'!$A$27:$H$60,7,0),0)</f>
        <v>0</v>
      </c>
      <c r="F81" s="151"/>
      <c r="G81" s="144"/>
      <c r="H81" s="144"/>
      <c r="I81" s="147">
        <f t="shared" si="20"/>
        <v>0</v>
      </c>
      <c r="J81" s="147">
        <f t="shared" si="21"/>
        <v>0</v>
      </c>
      <c r="K81" s="521"/>
      <c r="L81" s="149">
        <f>SUMIFS(TablaViaticos2021!$D$6:$D$17,TablaViaticos2021!$A$6:$A$17,Calculos!B81)</f>
        <v>0</v>
      </c>
      <c r="M81" s="149">
        <f t="shared" si="22"/>
        <v>0</v>
      </c>
      <c r="N81" s="518"/>
      <c r="O81" s="518"/>
    </row>
    <row r="82" spans="1:15" ht="15" customHeight="1" x14ac:dyDescent="0.2">
      <c r="A82" s="525"/>
      <c r="B82" s="150"/>
      <c r="C82" s="121"/>
      <c r="D82" s="119"/>
      <c r="E82" s="147">
        <f>IFERROR(VLOOKUP(B82,'Tabla Honorarios 2023'!$A$27:$H$60,7,0),0)</f>
        <v>0</v>
      </c>
      <c r="F82" s="151"/>
      <c r="G82" s="144"/>
      <c r="H82" s="144"/>
      <c r="I82" s="147">
        <f t="shared" si="20"/>
        <v>0</v>
      </c>
      <c r="J82" s="147">
        <f t="shared" si="21"/>
        <v>0</v>
      </c>
      <c r="K82" s="522"/>
      <c r="L82" s="149">
        <f>SUMIFS(TablaViaticos2021!$D$6:$D$17,TablaViaticos2021!$A$6:$A$17,Calculos!B82)</f>
        <v>0</v>
      </c>
      <c r="M82" s="149">
        <f t="shared" si="22"/>
        <v>0</v>
      </c>
      <c r="N82" s="519"/>
      <c r="O82" s="519"/>
    </row>
    <row r="83" spans="1:15" ht="15" customHeight="1" x14ac:dyDescent="0.2">
      <c r="A83" s="525" t="s">
        <v>443</v>
      </c>
      <c r="B83" s="150"/>
      <c r="C83" s="121" t="s">
        <v>448</v>
      </c>
      <c r="D83" s="119"/>
      <c r="E83" s="147">
        <f>IFERROR(VLOOKUP(B83,'Tabla Honorarios 2023'!$A$27:$H$60,7,0),0)</f>
        <v>0</v>
      </c>
      <c r="F83" s="151"/>
      <c r="G83" s="144"/>
      <c r="H83" s="144"/>
      <c r="I83" s="147">
        <f t="shared" si="20"/>
        <v>0</v>
      </c>
      <c r="J83" s="147">
        <f t="shared" si="21"/>
        <v>0</v>
      </c>
      <c r="K83" s="520">
        <f t="shared" ref="K83" si="26">SUM(J83:J92)</f>
        <v>0</v>
      </c>
      <c r="L83" s="149">
        <f>SUMIFS(TablaViaticos2021!$D$6:$D$17,TablaViaticos2021!$A$6:$A$17,Calculos!B83)</f>
        <v>0</v>
      </c>
      <c r="M83" s="149">
        <f t="shared" si="22"/>
        <v>0</v>
      </c>
      <c r="N83" s="517">
        <f t="shared" ref="N83" si="27">SUM(M83:M92)</f>
        <v>0</v>
      </c>
      <c r="O83" s="517">
        <f t="shared" ref="O83" si="28">K83+N83</f>
        <v>0</v>
      </c>
    </row>
    <row r="84" spans="1:15" ht="15" customHeight="1" x14ac:dyDescent="0.2">
      <c r="A84" s="525"/>
      <c r="B84" s="150"/>
      <c r="C84" s="121" t="s">
        <v>449</v>
      </c>
      <c r="D84" s="119"/>
      <c r="E84" s="147">
        <f>IFERROR(VLOOKUP(B84,'Tabla Honorarios 2023'!$A$27:$H$60,7,0),0)</f>
        <v>0</v>
      </c>
      <c r="F84" s="151"/>
      <c r="G84" s="144"/>
      <c r="H84" s="144"/>
      <c r="I84" s="147">
        <f t="shared" si="20"/>
        <v>0</v>
      </c>
      <c r="J84" s="147">
        <f t="shared" si="21"/>
        <v>0</v>
      </c>
      <c r="K84" s="521"/>
      <c r="L84" s="149">
        <f>SUMIFS(TablaViaticos2021!$D$6:$D$17,TablaViaticos2021!$A$6:$A$17,Calculos!B84)</f>
        <v>0</v>
      </c>
      <c r="M84" s="149">
        <f t="shared" si="22"/>
        <v>0</v>
      </c>
      <c r="N84" s="518"/>
      <c r="O84" s="518"/>
    </row>
    <row r="85" spans="1:15" ht="15" customHeight="1" x14ac:dyDescent="0.2">
      <c r="A85" s="525"/>
      <c r="B85" s="150"/>
      <c r="C85" s="121" t="s">
        <v>456</v>
      </c>
      <c r="D85" s="119"/>
      <c r="E85" s="147">
        <f>IFERROR(VLOOKUP(B85,'Tabla Honorarios 2023'!$A$27:$H$60,7,0),0)</f>
        <v>0</v>
      </c>
      <c r="F85" s="151"/>
      <c r="G85" s="144"/>
      <c r="H85" s="144"/>
      <c r="I85" s="147">
        <f t="shared" si="20"/>
        <v>0</v>
      </c>
      <c r="J85" s="147">
        <f t="shared" si="21"/>
        <v>0</v>
      </c>
      <c r="K85" s="521"/>
      <c r="L85" s="149">
        <f>SUMIFS(TablaViaticos2021!$D$6:$D$17,TablaViaticos2021!$A$6:$A$17,Calculos!B85)</f>
        <v>0</v>
      </c>
      <c r="M85" s="149">
        <f t="shared" si="22"/>
        <v>0</v>
      </c>
      <c r="N85" s="518"/>
      <c r="O85" s="518"/>
    </row>
    <row r="86" spans="1:15" ht="15" customHeight="1" x14ac:dyDescent="0.2">
      <c r="A86" s="525"/>
      <c r="B86" s="150"/>
      <c r="C86" s="121"/>
      <c r="D86" s="119"/>
      <c r="E86" s="147">
        <f>IFERROR(VLOOKUP(B86,'Tabla Honorarios 2023'!$A$27:$H$60,7,0),0)</f>
        <v>0</v>
      </c>
      <c r="F86" s="151"/>
      <c r="G86" s="144"/>
      <c r="H86" s="144"/>
      <c r="I86" s="147">
        <f t="shared" si="20"/>
        <v>0</v>
      </c>
      <c r="J86" s="147">
        <f t="shared" si="21"/>
        <v>0</v>
      </c>
      <c r="K86" s="521"/>
      <c r="L86" s="149">
        <f>SUMIFS(TablaViaticos2021!$D$6:$D$17,TablaViaticos2021!$A$6:$A$17,Calculos!B86)</f>
        <v>0</v>
      </c>
      <c r="M86" s="149">
        <f t="shared" si="22"/>
        <v>0</v>
      </c>
      <c r="N86" s="518"/>
      <c r="O86" s="518"/>
    </row>
    <row r="87" spans="1:15" ht="15" customHeight="1" x14ac:dyDescent="0.2">
      <c r="A87" s="525"/>
      <c r="B87" s="150"/>
      <c r="C87" s="121"/>
      <c r="D87" s="119"/>
      <c r="E87" s="147">
        <f>IFERROR(VLOOKUP(B87,'Tabla Honorarios 2023'!$A$27:$H$60,7,0),0)</f>
        <v>0</v>
      </c>
      <c r="F87" s="151"/>
      <c r="G87" s="144"/>
      <c r="H87" s="144"/>
      <c r="I87" s="147">
        <f t="shared" si="20"/>
        <v>0</v>
      </c>
      <c r="J87" s="147">
        <f t="shared" si="21"/>
        <v>0</v>
      </c>
      <c r="K87" s="521"/>
      <c r="L87" s="149">
        <f>SUMIFS(TablaViaticos2021!$D$6:$D$17,TablaViaticos2021!$A$6:$A$17,Calculos!B87)</f>
        <v>0</v>
      </c>
      <c r="M87" s="149">
        <f t="shared" si="22"/>
        <v>0</v>
      </c>
      <c r="N87" s="518"/>
      <c r="O87" s="518"/>
    </row>
    <row r="88" spans="1:15" ht="15" customHeight="1" x14ac:dyDescent="0.2">
      <c r="A88" s="525"/>
      <c r="B88" s="150"/>
      <c r="C88" s="121"/>
      <c r="D88" s="119"/>
      <c r="E88" s="147">
        <f>IFERROR(VLOOKUP(B88,'Tabla Honorarios 2023'!$A$27:$H$60,7,0),0)</f>
        <v>0</v>
      </c>
      <c r="F88" s="151"/>
      <c r="G88" s="144"/>
      <c r="H88" s="144"/>
      <c r="I88" s="147">
        <f t="shared" si="20"/>
        <v>0</v>
      </c>
      <c r="J88" s="147">
        <f t="shared" si="21"/>
        <v>0</v>
      </c>
      <c r="K88" s="521"/>
      <c r="L88" s="149">
        <f>SUMIFS(TablaViaticos2021!$D$6:$D$17,TablaViaticos2021!$A$6:$A$17,Calculos!B88)</f>
        <v>0</v>
      </c>
      <c r="M88" s="149">
        <f t="shared" si="22"/>
        <v>0</v>
      </c>
      <c r="N88" s="518"/>
      <c r="O88" s="518"/>
    </row>
    <row r="89" spans="1:15" ht="15" customHeight="1" x14ac:dyDescent="0.2">
      <c r="A89" s="525"/>
      <c r="B89" s="150"/>
      <c r="C89" s="121"/>
      <c r="D89" s="119"/>
      <c r="E89" s="147">
        <f>IFERROR(VLOOKUP(B89,'Tabla Honorarios 2023'!$A$27:$H$60,7,0),0)</f>
        <v>0</v>
      </c>
      <c r="F89" s="151"/>
      <c r="G89" s="144"/>
      <c r="H89" s="144"/>
      <c r="I89" s="147">
        <f t="shared" si="20"/>
        <v>0</v>
      </c>
      <c r="J89" s="147">
        <f t="shared" si="21"/>
        <v>0</v>
      </c>
      <c r="K89" s="521"/>
      <c r="L89" s="149">
        <f>SUMIFS(TablaViaticos2021!$D$6:$D$17,TablaViaticos2021!$A$6:$A$17,Calculos!B89)</f>
        <v>0</v>
      </c>
      <c r="M89" s="149">
        <f t="shared" si="22"/>
        <v>0</v>
      </c>
      <c r="N89" s="518"/>
      <c r="O89" s="518"/>
    </row>
    <row r="90" spans="1:15" ht="15" customHeight="1" x14ac:dyDescent="0.2">
      <c r="A90" s="525"/>
      <c r="B90" s="150"/>
      <c r="C90" s="121"/>
      <c r="D90" s="119"/>
      <c r="E90" s="147">
        <f>IFERROR(VLOOKUP(B90,'Tabla Honorarios 2023'!$A$27:$H$60,7,0),0)</f>
        <v>0</v>
      </c>
      <c r="F90" s="151"/>
      <c r="G90" s="144"/>
      <c r="H90" s="144"/>
      <c r="I90" s="147">
        <f t="shared" si="20"/>
        <v>0</v>
      </c>
      <c r="J90" s="147">
        <f t="shared" si="21"/>
        <v>0</v>
      </c>
      <c r="K90" s="521"/>
      <c r="L90" s="149">
        <f>SUMIFS(TablaViaticos2021!$D$6:$D$17,TablaViaticos2021!$A$6:$A$17,Calculos!B90)</f>
        <v>0</v>
      </c>
      <c r="M90" s="149">
        <f t="shared" si="22"/>
        <v>0</v>
      </c>
      <c r="N90" s="518"/>
      <c r="O90" s="518"/>
    </row>
    <row r="91" spans="1:15" ht="15" customHeight="1" x14ac:dyDescent="0.2">
      <c r="A91" s="525"/>
      <c r="B91" s="150"/>
      <c r="C91" s="121"/>
      <c r="D91" s="119"/>
      <c r="E91" s="147">
        <f>IFERROR(VLOOKUP(B91,'Tabla Honorarios 2023'!$A$27:$H$60,7,0),0)</f>
        <v>0</v>
      </c>
      <c r="F91" s="151"/>
      <c r="G91" s="144"/>
      <c r="H91" s="144"/>
      <c r="I91" s="147">
        <f t="shared" si="20"/>
        <v>0</v>
      </c>
      <c r="J91" s="147">
        <f t="shared" si="21"/>
        <v>0</v>
      </c>
      <c r="K91" s="521"/>
      <c r="L91" s="149">
        <f>SUMIFS(TablaViaticos2021!$D$6:$D$17,TablaViaticos2021!$A$6:$A$17,Calculos!B91)</f>
        <v>0</v>
      </c>
      <c r="M91" s="149">
        <f t="shared" si="22"/>
        <v>0</v>
      </c>
      <c r="N91" s="518"/>
      <c r="O91" s="518"/>
    </row>
    <row r="92" spans="1:15" ht="15" customHeight="1" x14ac:dyDescent="0.2">
      <c r="A92" s="525"/>
      <c r="B92" s="150"/>
      <c r="C92" s="121"/>
      <c r="D92" s="119"/>
      <c r="E92" s="147">
        <f>IFERROR(VLOOKUP(B92,'Tabla Honorarios 2023'!$A$27:$H$60,7,0),0)</f>
        <v>0</v>
      </c>
      <c r="F92" s="151"/>
      <c r="G92" s="144"/>
      <c r="H92" s="144"/>
      <c r="I92" s="147">
        <f t="shared" si="20"/>
        <v>0</v>
      </c>
      <c r="J92" s="147">
        <f t="shared" si="21"/>
        <v>0</v>
      </c>
      <c r="K92" s="522"/>
      <c r="L92" s="149">
        <f>SUMIFS(TablaViaticos2021!$D$6:$D$17,TablaViaticos2021!$A$6:$A$17,Calculos!B92)</f>
        <v>0</v>
      </c>
      <c r="M92" s="149">
        <f t="shared" si="22"/>
        <v>0</v>
      </c>
      <c r="N92" s="519"/>
      <c r="O92" s="519"/>
    </row>
    <row r="93" spans="1:15" ht="15" customHeight="1" x14ac:dyDescent="0.2">
      <c r="A93" s="525" t="s">
        <v>444</v>
      </c>
      <c r="B93" s="150"/>
      <c r="C93" s="121" t="s">
        <v>448</v>
      </c>
      <c r="D93" s="119"/>
      <c r="E93" s="147">
        <f>IFERROR(VLOOKUP(B93,'Tabla Honorarios 2023'!$A$27:$H$60,7,0),0)</f>
        <v>0</v>
      </c>
      <c r="F93" s="151"/>
      <c r="G93" s="144"/>
      <c r="H93" s="144"/>
      <c r="I93" s="147">
        <f t="shared" si="20"/>
        <v>0</v>
      </c>
      <c r="J93" s="147">
        <f t="shared" si="21"/>
        <v>0</v>
      </c>
      <c r="K93" s="520">
        <f t="shared" ref="K93" si="29">SUM(J93:J102)</f>
        <v>0</v>
      </c>
      <c r="L93" s="149">
        <f>SUMIFS(TablaViaticos2021!$D$6:$D$17,TablaViaticos2021!$A$6:$A$17,Calculos!B93)</f>
        <v>0</v>
      </c>
      <c r="M93" s="149">
        <f t="shared" si="22"/>
        <v>0</v>
      </c>
      <c r="N93" s="517">
        <f t="shared" ref="N93" si="30">SUM(M93:M102)</f>
        <v>0</v>
      </c>
      <c r="O93" s="517">
        <f t="shared" ref="O93" si="31">K93+N93</f>
        <v>0</v>
      </c>
    </row>
    <row r="94" spans="1:15" ht="15" customHeight="1" x14ac:dyDescent="0.2">
      <c r="A94" s="525"/>
      <c r="B94" s="150"/>
      <c r="C94" s="121" t="s">
        <v>449</v>
      </c>
      <c r="D94" s="119"/>
      <c r="E94" s="147">
        <f>IFERROR(VLOOKUP(B94,'Tabla Honorarios 2023'!$A$27:$H$60,7,0),0)</f>
        <v>0</v>
      </c>
      <c r="F94" s="151"/>
      <c r="G94" s="144"/>
      <c r="H94" s="144"/>
      <c r="I94" s="147">
        <f t="shared" si="20"/>
        <v>0</v>
      </c>
      <c r="J94" s="147">
        <f t="shared" si="21"/>
        <v>0</v>
      </c>
      <c r="K94" s="521"/>
      <c r="L94" s="149">
        <f>SUMIFS(TablaViaticos2021!$D$6:$D$17,TablaViaticos2021!$A$6:$A$17,Calculos!B94)</f>
        <v>0</v>
      </c>
      <c r="M94" s="149">
        <f t="shared" si="22"/>
        <v>0</v>
      </c>
      <c r="N94" s="518"/>
      <c r="O94" s="518"/>
    </row>
    <row r="95" spans="1:15" ht="15" customHeight="1" x14ac:dyDescent="0.2">
      <c r="A95" s="525"/>
      <c r="B95" s="150"/>
      <c r="C95" s="121" t="s">
        <v>456</v>
      </c>
      <c r="D95" s="119"/>
      <c r="E95" s="147">
        <f>IFERROR(VLOOKUP(B95,'Tabla Honorarios 2023'!$A$27:$H$60,7,0),0)</f>
        <v>0</v>
      </c>
      <c r="F95" s="151"/>
      <c r="G95" s="144"/>
      <c r="H95" s="144"/>
      <c r="I95" s="147">
        <f t="shared" si="20"/>
        <v>0</v>
      </c>
      <c r="J95" s="147">
        <f t="shared" si="21"/>
        <v>0</v>
      </c>
      <c r="K95" s="521"/>
      <c r="L95" s="149">
        <f>SUMIFS(TablaViaticos2021!$D$6:$D$17,TablaViaticos2021!$A$6:$A$17,Calculos!B95)</f>
        <v>0</v>
      </c>
      <c r="M95" s="149">
        <f t="shared" si="22"/>
        <v>0</v>
      </c>
      <c r="N95" s="518"/>
      <c r="O95" s="518"/>
    </row>
    <row r="96" spans="1:15" ht="15" customHeight="1" x14ac:dyDescent="0.2">
      <c r="A96" s="525"/>
      <c r="B96" s="150"/>
      <c r="C96" s="121"/>
      <c r="D96" s="119"/>
      <c r="E96" s="147">
        <f>IFERROR(VLOOKUP(B96,'Tabla Honorarios 2023'!$A$27:$H$60,7,0),0)</f>
        <v>0</v>
      </c>
      <c r="F96" s="151"/>
      <c r="G96" s="144"/>
      <c r="H96" s="144"/>
      <c r="I96" s="147">
        <f t="shared" si="20"/>
        <v>0</v>
      </c>
      <c r="J96" s="147">
        <f t="shared" si="21"/>
        <v>0</v>
      </c>
      <c r="K96" s="521"/>
      <c r="L96" s="149">
        <f>SUMIFS(TablaViaticos2021!$D$6:$D$17,TablaViaticos2021!$A$6:$A$17,Calculos!B96)</f>
        <v>0</v>
      </c>
      <c r="M96" s="149">
        <f t="shared" si="22"/>
        <v>0</v>
      </c>
      <c r="N96" s="518"/>
      <c r="O96" s="518"/>
    </row>
    <row r="97" spans="1:15" ht="15" customHeight="1" x14ac:dyDescent="0.2">
      <c r="A97" s="525"/>
      <c r="B97" s="150"/>
      <c r="C97" s="121"/>
      <c r="D97" s="119"/>
      <c r="E97" s="147">
        <f>IFERROR(VLOOKUP(B97,'Tabla Honorarios 2023'!$A$27:$H$60,7,0),0)</f>
        <v>0</v>
      </c>
      <c r="F97" s="151"/>
      <c r="G97" s="144"/>
      <c r="H97" s="144"/>
      <c r="I97" s="147">
        <f t="shared" si="20"/>
        <v>0</v>
      </c>
      <c r="J97" s="147">
        <f t="shared" si="21"/>
        <v>0</v>
      </c>
      <c r="K97" s="521"/>
      <c r="L97" s="149">
        <f>SUMIFS(TablaViaticos2021!$D$6:$D$17,TablaViaticos2021!$A$6:$A$17,Calculos!B97)</f>
        <v>0</v>
      </c>
      <c r="M97" s="149">
        <f t="shared" si="22"/>
        <v>0</v>
      </c>
      <c r="N97" s="518"/>
      <c r="O97" s="518"/>
    </row>
    <row r="98" spans="1:15" ht="15" customHeight="1" x14ac:dyDescent="0.2">
      <c r="A98" s="525"/>
      <c r="B98" s="150"/>
      <c r="C98" s="121"/>
      <c r="D98" s="119"/>
      <c r="E98" s="147">
        <f>IFERROR(VLOOKUP(B98,'Tabla Honorarios 2023'!$A$27:$H$60,7,0),0)</f>
        <v>0</v>
      </c>
      <c r="F98" s="151"/>
      <c r="G98" s="144"/>
      <c r="H98" s="144"/>
      <c r="I98" s="147">
        <f t="shared" si="20"/>
        <v>0</v>
      </c>
      <c r="J98" s="147">
        <f t="shared" si="21"/>
        <v>0</v>
      </c>
      <c r="K98" s="521"/>
      <c r="L98" s="149">
        <f>SUMIFS(TablaViaticos2021!$D$6:$D$17,TablaViaticos2021!$A$6:$A$17,Calculos!B98)</f>
        <v>0</v>
      </c>
      <c r="M98" s="149">
        <f t="shared" si="22"/>
        <v>0</v>
      </c>
      <c r="N98" s="518"/>
      <c r="O98" s="518"/>
    </row>
    <row r="99" spans="1:15" ht="15" customHeight="1" x14ac:dyDescent="0.2">
      <c r="A99" s="525"/>
      <c r="B99" s="150"/>
      <c r="C99" s="121"/>
      <c r="D99" s="119"/>
      <c r="E99" s="147">
        <f>IFERROR(VLOOKUP(B99,'Tabla Honorarios 2023'!$A$27:$H$60,7,0),0)</f>
        <v>0</v>
      </c>
      <c r="F99" s="151"/>
      <c r="G99" s="144"/>
      <c r="H99" s="144"/>
      <c r="I99" s="147">
        <f t="shared" si="20"/>
        <v>0</v>
      </c>
      <c r="J99" s="147">
        <f t="shared" si="21"/>
        <v>0</v>
      </c>
      <c r="K99" s="521"/>
      <c r="L99" s="149">
        <f>SUMIFS(TablaViaticos2021!$D$6:$D$17,TablaViaticos2021!$A$6:$A$17,Calculos!B99)</f>
        <v>0</v>
      </c>
      <c r="M99" s="149">
        <f t="shared" si="22"/>
        <v>0</v>
      </c>
      <c r="N99" s="518"/>
      <c r="O99" s="518"/>
    </row>
    <row r="100" spans="1:15" ht="15" customHeight="1" x14ac:dyDescent="0.2">
      <c r="A100" s="525"/>
      <c r="B100" s="150"/>
      <c r="C100" s="121"/>
      <c r="D100" s="119"/>
      <c r="E100" s="147">
        <f>IFERROR(VLOOKUP(B100,'Tabla Honorarios 2023'!$A$27:$H$60,7,0),0)</f>
        <v>0</v>
      </c>
      <c r="F100" s="151"/>
      <c r="G100" s="144"/>
      <c r="H100" s="144"/>
      <c r="I100" s="147">
        <f t="shared" si="20"/>
        <v>0</v>
      </c>
      <c r="J100" s="147">
        <f t="shared" si="21"/>
        <v>0</v>
      </c>
      <c r="K100" s="521"/>
      <c r="L100" s="149">
        <f>SUMIFS(TablaViaticos2021!$D$6:$D$17,TablaViaticos2021!$A$6:$A$17,Calculos!B100)</f>
        <v>0</v>
      </c>
      <c r="M100" s="149">
        <f t="shared" si="22"/>
        <v>0</v>
      </c>
      <c r="N100" s="518"/>
      <c r="O100" s="518"/>
    </row>
    <row r="101" spans="1:15" ht="15" customHeight="1" x14ac:dyDescent="0.2">
      <c r="A101" s="525"/>
      <c r="B101" s="150"/>
      <c r="C101" s="121"/>
      <c r="D101" s="119"/>
      <c r="E101" s="147">
        <f>IFERROR(VLOOKUP(B101,'Tabla Honorarios 2023'!$A$27:$H$60,7,0),0)</f>
        <v>0</v>
      </c>
      <c r="F101" s="151"/>
      <c r="G101" s="144"/>
      <c r="H101" s="144"/>
      <c r="I101" s="147">
        <f t="shared" si="20"/>
        <v>0</v>
      </c>
      <c r="J101" s="147">
        <f t="shared" si="21"/>
        <v>0</v>
      </c>
      <c r="K101" s="521"/>
      <c r="L101" s="149">
        <f>SUMIFS(TablaViaticos2021!$D$6:$D$17,TablaViaticos2021!$A$6:$A$17,Calculos!B101)</f>
        <v>0</v>
      </c>
      <c r="M101" s="149">
        <f t="shared" si="22"/>
        <v>0</v>
      </c>
      <c r="N101" s="518"/>
      <c r="O101" s="518"/>
    </row>
    <row r="102" spans="1:15" ht="15" customHeight="1" x14ac:dyDescent="0.2">
      <c r="A102" s="525"/>
      <c r="B102" s="150"/>
      <c r="C102" s="121"/>
      <c r="D102" s="119"/>
      <c r="E102" s="147">
        <f>IFERROR(VLOOKUP(B102,'Tabla Honorarios 2023'!$A$27:$H$60,7,0),0)</f>
        <v>0</v>
      </c>
      <c r="F102" s="151"/>
      <c r="G102" s="144"/>
      <c r="H102" s="144"/>
      <c r="I102" s="147">
        <f t="shared" si="20"/>
        <v>0</v>
      </c>
      <c r="J102" s="147">
        <f t="shared" si="21"/>
        <v>0</v>
      </c>
      <c r="K102" s="522"/>
      <c r="L102" s="149">
        <f>SUMIFS(TablaViaticos2021!$D$6:$D$17,TablaViaticos2021!$A$6:$A$17,Calculos!B102)</f>
        <v>0</v>
      </c>
      <c r="M102" s="149">
        <f t="shared" si="22"/>
        <v>0</v>
      </c>
      <c r="N102" s="519"/>
      <c r="O102" s="519"/>
    </row>
    <row r="103" spans="1:15" ht="15" customHeight="1" x14ac:dyDescent="0.2">
      <c r="A103" s="525" t="s">
        <v>466</v>
      </c>
      <c r="B103" s="150"/>
      <c r="C103" s="121" t="s">
        <v>448</v>
      </c>
      <c r="D103" s="119"/>
      <c r="E103" s="147">
        <f>IFERROR(VLOOKUP(B103,'Tabla Honorarios 2023'!$A$27:$H$60,7,0),0)</f>
        <v>0</v>
      </c>
      <c r="F103" s="151"/>
      <c r="G103" s="144"/>
      <c r="H103" s="144"/>
      <c r="I103" s="147">
        <f t="shared" si="20"/>
        <v>0</v>
      </c>
      <c r="J103" s="147">
        <f t="shared" si="21"/>
        <v>0</v>
      </c>
      <c r="K103" s="520">
        <f t="shared" ref="K103" si="32">SUM(J103:J112)</f>
        <v>0</v>
      </c>
      <c r="L103" s="149">
        <f>SUMIFS(TablaViaticos2021!$D$6:$D$17,TablaViaticos2021!$A$6:$A$17,Calculos!B103)</f>
        <v>0</v>
      </c>
      <c r="M103" s="149">
        <f t="shared" si="22"/>
        <v>0</v>
      </c>
      <c r="N103" s="517">
        <f t="shared" ref="N103" si="33">SUM(M103:M112)</f>
        <v>0</v>
      </c>
      <c r="O103" s="517">
        <f t="shared" ref="O103" si="34">K103+N103</f>
        <v>0</v>
      </c>
    </row>
    <row r="104" spans="1:15" ht="15" customHeight="1" x14ac:dyDescent="0.2">
      <c r="A104" s="525"/>
      <c r="B104" s="150"/>
      <c r="C104" s="121" t="s">
        <v>449</v>
      </c>
      <c r="D104" s="119"/>
      <c r="E104" s="147">
        <f>IFERROR(VLOOKUP(B104,'Tabla Honorarios 2023'!$A$27:$H$60,7,0),0)</f>
        <v>0</v>
      </c>
      <c r="F104" s="151"/>
      <c r="G104" s="144"/>
      <c r="H104" s="144"/>
      <c r="I104" s="147">
        <f t="shared" si="20"/>
        <v>0</v>
      </c>
      <c r="J104" s="147">
        <f t="shared" si="21"/>
        <v>0</v>
      </c>
      <c r="K104" s="521"/>
      <c r="L104" s="149">
        <f>SUMIFS(TablaViaticos2021!$D$6:$D$17,TablaViaticos2021!$A$6:$A$17,Calculos!B104)</f>
        <v>0</v>
      </c>
      <c r="M104" s="149">
        <f t="shared" si="22"/>
        <v>0</v>
      </c>
      <c r="N104" s="518"/>
      <c r="O104" s="518"/>
    </row>
    <row r="105" spans="1:15" ht="15" customHeight="1" x14ac:dyDescent="0.2">
      <c r="A105" s="525"/>
      <c r="B105" s="150"/>
      <c r="C105" s="121" t="s">
        <v>454</v>
      </c>
      <c r="D105" s="119"/>
      <c r="E105" s="147">
        <f>IFERROR(VLOOKUP(B105,'Tabla Honorarios 2023'!$A$27:$H$60,7,0),0)</f>
        <v>0</v>
      </c>
      <c r="F105" s="151"/>
      <c r="G105" s="144"/>
      <c r="H105" s="144"/>
      <c r="I105" s="147">
        <f t="shared" si="20"/>
        <v>0</v>
      </c>
      <c r="J105" s="147">
        <f t="shared" si="21"/>
        <v>0</v>
      </c>
      <c r="K105" s="521"/>
      <c r="L105" s="149">
        <f>SUMIFS(TablaViaticos2021!$D$6:$D$17,TablaViaticos2021!$A$6:$A$17,Calculos!B105)</f>
        <v>0</v>
      </c>
      <c r="M105" s="149">
        <f t="shared" si="22"/>
        <v>0</v>
      </c>
      <c r="N105" s="518"/>
      <c r="O105" s="518"/>
    </row>
    <row r="106" spans="1:15" ht="15" customHeight="1" x14ac:dyDescent="0.2">
      <c r="A106" s="525"/>
      <c r="B106" s="150"/>
      <c r="C106" s="121"/>
      <c r="D106" s="119"/>
      <c r="E106" s="147">
        <f>IFERROR(VLOOKUP(B106,'Tabla Honorarios 2023'!$A$27:$H$60,7,0),0)</f>
        <v>0</v>
      </c>
      <c r="F106" s="151"/>
      <c r="G106" s="144"/>
      <c r="H106" s="144"/>
      <c r="I106" s="147">
        <f t="shared" si="20"/>
        <v>0</v>
      </c>
      <c r="J106" s="147">
        <f t="shared" si="21"/>
        <v>0</v>
      </c>
      <c r="K106" s="521"/>
      <c r="L106" s="149">
        <f>SUMIFS(TablaViaticos2021!$D$6:$D$17,TablaViaticos2021!$A$6:$A$17,Calculos!B106)</f>
        <v>0</v>
      </c>
      <c r="M106" s="149">
        <f t="shared" si="22"/>
        <v>0</v>
      </c>
      <c r="N106" s="518"/>
      <c r="O106" s="518"/>
    </row>
    <row r="107" spans="1:15" ht="15" customHeight="1" x14ac:dyDescent="0.2">
      <c r="A107" s="525"/>
      <c r="B107" s="150"/>
      <c r="C107" s="121"/>
      <c r="D107" s="119"/>
      <c r="E107" s="147">
        <f>IFERROR(VLOOKUP(B107,'Tabla Honorarios 2023'!$A$27:$H$60,7,0),0)</f>
        <v>0</v>
      </c>
      <c r="F107" s="151"/>
      <c r="G107" s="144"/>
      <c r="H107" s="144"/>
      <c r="I107" s="147">
        <f t="shared" si="20"/>
        <v>0</v>
      </c>
      <c r="J107" s="147">
        <f t="shared" si="21"/>
        <v>0</v>
      </c>
      <c r="K107" s="521"/>
      <c r="L107" s="149">
        <f>SUMIFS(TablaViaticos2021!$D$6:$D$17,TablaViaticos2021!$A$6:$A$17,Calculos!B107)</f>
        <v>0</v>
      </c>
      <c r="M107" s="149">
        <f t="shared" si="22"/>
        <v>0</v>
      </c>
      <c r="N107" s="518"/>
      <c r="O107" s="518"/>
    </row>
    <row r="108" spans="1:15" ht="15" customHeight="1" x14ac:dyDescent="0.2">
      <c r="A108" s="525"/>
      <c r="B108" s="150"/>
      <c r="C108" s="121"/>
      <c r="D108" s="119"/>
      <c r="E108" s="147">
        <f>IFERROR(VLOOKUP(B108,'Tabla Honorarios 2023'!$A$27:$H$60,7,0),0)</f>
        <v>0</v>
      </c>
      <c r="F108" s="151"/>
      <c r="G108" s="144"/>
      <c r="H108" s="144"/>
      <c r="I108" s="147">
        <f t="shared" si="20"/>
        <v>0</v>
      </c>
      <c r="J108" s="147">
        <f t="shared" si="21"/>
        <v>0</v>
      </c>
      <c r="K108" s="521"/>
      <c r="L108" s="149">
        <f>SUMIFS(TablaViaticos2021!$D$6:$D$17,TablaViaticos2021!$A$6:$A$17,Calculos!B108)</f>
        <v>0</v>
      </c>
      <c r="M108" s="149">
        <f t="shared" si="22"/>
        <v>0</v>
      </c>
      <c r="N108" s="518"/>
      <c r="O108" s="518"/>
    </row>
    <row r="109" spans="1:15" ht="15" customHeight="1" x14ac:dyDescent="0.2">
      <c r="A109" s="525"/>
      <c r="B109" s="150"/>
      <c r="C109" s="121"/>
      <c r="D109" s="119"/>
      <c r="E109" s="147">
        <f>IFERROR(VLOOKUP(B109,'Tabla Honorarios 2023'!$A$27:$H$60,7,0),0)</f>
        <v>0</v>
      </c>
      <c r="F109" s="151"/>
      <c r="G109" s="144"/>
      <c r="H109" s="144"/>
      <c r="I109" s="147">
        <f t="shared" si="20"/>
        <v>0</v>
      </c>
      <c r="J109" s="147">
        <f t="shared" si="21"/>
        <v>0</v>
      </c>
      <c r="K109" s="521"/>
      <c r="L109" s="149">
        <f>SUMIFS(TablaViaticos2021!$D$6:$D$17,TablaViaticos2021!$A$6:$A$17,Calculos!B109)</f>
        <v>0</v>
      </c>
      <c r="M109" s="149">
        <f t="shared" si="22"/>
        <v>0</v>
      </c>
      <c r="N109" s="518"/>
      <c r="O109" s="518"/>
    </row>
    <row r="110" spans="1:15" ht="15" customHeight="1" x14ac:dyDescent="0.2">
      <c r="A110" s="525"/>
      <c r="B110" s="150"/>
      <c r="C110" s="121"/>
      <c r="D110" s="119"/>
      <c r="E110" s="147">
        <f>IFERROR(VLOOKUP(B110,'Tabla Honorarios 2023'!$A$27:$H$60,7,0),0)</f>
        <v>0</v>
      </c>
      <c r="F110" s="151"/>
      <c r="G110" s="144"/>
      <c r="H110" s="144"/>
      <c r="I110" s="147">
        <f t="shared" si="20"/>
        <v>0</v>
      </c>
      <c r="J110" s="147">
        <f t="shared" si="21"/>
        <v>0</v>
      </c>
      <c r="K110" s="521"/>
      <c r="L110" s="149">
        <f>SUMIFS(TablaViaticos2021!$D$6:$D$17,TablaViaticos2021!$A$6:$A$17,Calculos!B110)</f>
        <v>0</v>
      </c>
      <c r="M110" s="149">
        <f t="shared" si="22"/>
        <v>0</v>
      </c>
      <c r="N110" s="518"/>
      <c r="O110" s="518"/>
    </row>
    <row r="111" spans="1:15" ht="15" customHeight="1" x14ac:dyDescent="0.2">
      <c r="A111" s="525"/>
      <c r="B111" s="150"/>
      <c r="C111" s="121"/>
      <c r="D111" s="119"/>
      <c r="E111" s="147">
        <f>IFERROR(VLOOKUP(B111,'Tabla Honorarios 2023'!$A$27:$H$60,7,0),0)</f>
        <v>0</v>
      </c>
      <c r="F111" s="151"/>
      <c r="G111" s="144"/>
      <c r="H111" s="144"/>
      <c r="I111" s="147">
        <f t="shared" si="20"/>
        <v>0</v>
      </c>
      <c r="J111" s="147">
        <f t="shared" si="21"/>
        <v>0</v>
      </c>
      <c r="K111" s="521"/>
      <c r="L111" s="149">
        <f>SUMIFS(TablaViaticos2021!$D$6:$D$17,TablaViaticos2021!$A$6:$A$17,Calculos!B111)</f>
        <v>0</v>
      </c>
      <c r="M111" s="149">
        <f t="shared" si="22"/>
        <v>0</v>
      </c>
      <c r="N111" s="518"/>
      <c r="O111" s="518"/>
    </row>
    <row r="112" spans="1:15" ht="15" customHeight="1" x14ac:dyDescent="0.2">
      <c r="A112" s="525"/>
      <c r="B112" s="150"/>
      <c r="C112" s="121"/>
      <c r="D112" s="119"/>
      <c r="E112" s="147">
        <f>IFERROR(VLOOKUP(B112,'Tabla Honorarios 2023'!$A$27:$H$60,7,0),0)</f>
        <v>0</v>
      </c>
      <c r="F112" s="151"/>
      <c r="G112" s="144"/>
      <c r="H112" s="144"/>
      <c r="I112" s="147">
        <f t="shared" si="20"/>
        <v>0</v>
      </c>
      <c r="J112" s="147">
        <f t="shared" si="21"/>
        <v>0</v>
      </c>
      <c r="K112" s="522"/>
      <c r="L112" s="149">
        <f>SUMIFS(TablaViaticos2021!$D$6:$D$17,TablaViaticos2021!$A$6:$A$17,Calculos!B112)</f>
        <v>0</v>
      </c>
      <c r="M112" s="149">
        <f t="shared" si="22"/>
        <v>0</v>
      </c>
      <c r="N112" s="519"/>
      <c r="O112" s="519"/>
    </row>
    <row r="113" spans="1:15" ht="15" customHeight="1" x14ac:dyDescent="0.2">
      <c r="A113" s="525" t="s">
        <v>467</v>
      </c>
      <c r="B113" s="150"/>
      <c r="C113" s="121" t="s">
        <v>448</v>
      </c>
      <c r="D113" s="119"/>
      <c r="E113" s="147">
        <f>IFERROR(VLOOKUP(B113,'Tabla Honorarios 2023'!$A$27:$H$60,7,0),0)</f>
        <v>0</v>
      </c>
      <c r="F113" s="151"/>
      <c r="G113" s="144"/>
      <c r="H113" s="144"/>
      <c r="I113" s="147">
        <f t="shared" si="20"/>
        <v>0</v>
      </c>
      <c r="J113" s="147">
        <f t="shared" si="21"/>
        <v>0</v>
      </c>
      <c r="K113" s="520">
        <f t="shared" ref="K113" si="35">SUM(J113:J122)</f>
        <v>0</v>
      </c>
      <c r="L113" s="149">
        <f>SUMIFS(TablaViaticos2021!$D$6:$D$17,TablaViaticos2021!$A$6:$A$17,Calculos!B113)</f>
        <v>0</v>
      </c>
      <c r="M113" s="149">
        <f t="shared" si="22"/>
        <v>0</v>
      </c>
      <c r="N113" s="517">
        <f t="shared" ref="N113" si="36">SUM(M113:M122)</f>
        <v>0</v>
      </c>
      <c r="O113" s="517">
        <f t="shared" ref="O113" si="37">K113+N113</f>
        <v>0</v>
      </c>
    </row>
    <row r="114" spans="1:15" ht="15" customHeight="1" x14ac:dyDescent="0.2">
      <c r="A114" s="525"/>
      <c r="B114" s="150"/>
      <c r="C114" s="121" t="s">
        <v>449</v>
      </c>
      <c r="D114" s="119"/>
      <c r="E114" s="147">
        <f>IFERROR(VLOOKUP(B114,'Tabla Honorarios 2023'!$A$27:$H$60,7,0),0)</f>
        <v>0</v>
      </c>
      <c r="F114" s="151"/>
      <c r="G114" s="144"/>
      <c r="H114" s="144"/>
      <c r="I114" s="147">
        <f t="shared" si="20"/>
        <v>0</v>
      </c>
      <c r="J114" s="147">
        <f t="shared" si="21"/>
        <v>0</v>
      </c>
      <c r="K114" s="521"/>
      <c r="L114" s="149">
        <f>SUMIFS(TablaViaticos2021!$D$6:$D$17,TablaViaticos2021!$A$6:$A$17,Calculos!B114)</f>
        <v>0</v>
      </c>
      <c r="M114" s="149">
        <f t="shared" si="22"/>
        <v>0</v>
      </c>
      <c r="N114" s="518"/>
      <c r="O114" s="518"/>
    </row>
    <row r="115" spans="1:15" ht="15" customHeight="1" x14ac:dyDescent="0.2">
      <c r="A115" s="525"/>
      <c r="B115" s="150"/>
      <c r="C115" s="121" t="s">
        <v>454</v>
      </c>
      <c r="D115" s="119"/>
      <c r="E115" s="147">
        <f>IFERROR(VLOOKUP(B115,'Tabla Honorarios 2023'!$A$27:$H$60,7,0),0)</f>
        <v>0</v>
      </c>
      <c r="F115" s="151"/>
      <c r="G115" s="144"/>
      <c r="H115" s="144"/>
      <c r="I115" s="147">
        <f t="shared" si="20"/>
        <v>0</v>
      </c>
      <c r="J115" s="147">
        <f t="shared" si="21"/>
        <v>0</v>
      </c>
      <c r="K115" s="521"/>
      <c r="L115" s="149">
        <f>SUMIFS(TablaViaticos2021!$D$6:$D$17,TablaViaticos2021!$A$6:$A$17,Calculos!B115)</f>
        <v>0</v>
      </c>
      <c r="M115" s="149">
        <f t="shared" si="22"/>
        <v>0</v>
      </c>
      <c r="N115" s="518"/>
      <c r="O115" s="518"/>
    </row>
    <row r="116" spans="1:15" ht="15" customHeight="1" x14ac:dyDescent="0.2">
      <c r="A116" s="525"/>
      <c r="B116" s="150"/>
      <c r="C116" s="121"/>
      <c r="D116" s="119"/>
      <c r="E116" s="147">
        <f>IFERROR(VLOOKUP(B116,'Tabla Honorarios 2023'!$A$27:$H$60,7,0),0)</f>
        <v>0</v>
      </c>
      <c r="F116" s="151"/>
      <c r="G116" s="144"/>
      <c r="H116" s="144"/>
      <c r="I116" s="147">
        <f t="shared" si="20"/>
        <v>0</v>
      </c>
      <c r="J116" s="147">
        <f t="shared" si="21"/>
        <v>0</v>
      </c>
      <c r="K116" s="521"/>
      <c r="L116" s="149">
        <f>SUMIFS(TablaViaticos2021!$D$6:$D$17,TablaViaticos2021!$A$6:$A$17,Calculos!B116)</f>
        <v>0</v>
      </c>
      <c r="M116" s="149">
        <f t="shared" si="22"/>
        <v>0</v>
      </c>
      <c r="N116" s="518"/>
      <c r="O116" s="518"/>
    </row>
    <row r="117" spans="1:15" ht="15" customHeight="1" x14ac:dyDescent="0.2">
      <c r="A117" s="525"/>
      <c r="B117" s="150"/>
      <c r="C117" s="121"/>
      <c r="D117" s="119"/>
      <c r="E117" s="147">
        <f>IFERROR(VLOOKUP(B117,'Tabla Honorarios 2023'!$A$27:$H$60,7,0),0)</f>
        <v>0</v>
      </c>
      <c r="F117" s="151"/>
      <c r="G117" s="144"/>
      <c r="H117" s="144"/>
      <c r="I117" s="147">
        <f t="shared" si="20"/>
        <v>0</v>
      </c>
      <c r="J117" s="147">
        <f t="shared" si="21"/>
        <v>0</v>
      </c>
      <c r="K117" s="521"/>
      <c r="L117" s="149">
        <f>SUMIFS(TablaViaticos2021!$D$6:$D$17,TablaViaticos2021!$A$6:$A$17,Calculos!B117)</f>
        <v>0</v>
      </c>
      <c r="M117" s="149">
        <f t="shared" si="22"/>
        <v>0</v>
      </c>
      <c r="N117" s="518"/>
      <c r="O117" s="518"/>
    </row>
    <row r="118" spans="1:15" ht="15" customHeight="1" x14ac:dyDescent="0.2">
      <c r="A118" s="525"/>
      <c r="B118" s="150"/>
      <c r="C118" s="121"/>
      <c r="D118" s="119"/>
      <c r="E118" s="147">
        <f>IFERROR(VLOOKUP(B118,'Tabla Honorarios 2023'!$A$27:$H$60,7,0),0)</f>
        <v>0</v>
      </c>
      <c r="F118" s="151"/>
      <c r="G118" s="144"/>
      <c r="H118" s="144"/>
      <c r="I118" s="147">
        <f t="shared" si="20"/>
        <v>0</v>
      </c>
      <c r="J118" s="147">
        <f t="shared" si="21"/>
        <v>0</v>
      </c>
      <c r="K118" s="521"/>
      <c r="L118" s="149">
        <f>SUMIFS(TablaViaticos2021!$D$6:$D$17,TablaViaticos2021!$A$6:$A$17,Calculos!B118)</f>
        <v>0</v>
      </c>
      <c r="M118" s="149">
        <f t="shared" si="22"/>
        <v>0</v>
      </c>
      <c r="N118" s="518"/>
      <c r="O118" s="518"/>
    </row>
    <row r="119" spans="1:15" ht="15" customHeight="1" x14ac:dyDescent="0.2">
      <c r="A119" s="525"/>
      <c r="B119" s="150"/>
      <c r="C119" s="121"/>
      <c r="D119" s="119"/>
      <c r="E119" s="147">
        <f>IFERROR(VLOOKUP(B119,'Tabla Honorarios 2023'!$A$27:$H$60,7,0),0)</f>
        <v>0</v>
      </c>
      <c r="F119" s="151"/>
      <c r="G119" s="144"/>
      <c r="H119" s="144"/>
      <c r="I119" s="147">
        <f t="shared" si="20"/>
        <v>0</v>
      </c>
      <c r="J119" s="147">
        <f t="shared" si="21"/>
        <v>0</v>
      </c>
      <c r="K119" s="521"/>
      <c r="L119" s="149">
        <f>SUMIFS(TablaViaticos2021!$D$6:$D$17,TablaViaticos2021!$A$6:$A$17,Calculos!B119)</f>
        <v>0</v>
      </c>
      <c r="M119" s="149">
        <f t="shared" si="22"/>
        <v>0</v>
      </c>
      <c r="N119" s="518"/>
      <c r="O119" s="518"/>
    </row>
    <row r="120" spans="1:15" ht="15" customHeight="1" x14ac:dyDescent="0.2">
      <c r="A120" s="525"/>
      <c r="B120" s="150"/>
      <c r="C120" s="121"/>
      <c r="D120" s="119"/>
      <c r="E120" s="147">
        <f>IFERROR(VLOOKUP(B120,'Tabla Honorarios 2023'!$A$27:$H$60,7,0),0)</f>
        <v>0</v>
      </c>
      <c r="F120" s="151"/>
      <c r="G120" s="144"/>
      <c r="H120" s="144"/>
      <c r="I120" s="147">
        <f t="shared" si="20"/>
        <v>0</v>
      </c>
      <c r="J120" s="147">
        <f t="shared" si="21"/>
        <v>0</v>
      </c>
      <c r="K120" s="521"/>
      <c r="L120" s="149">
        <f>SUMIFS(TablaViaticos2021!$D$6:$D$17,TablaViaticos2021!$A$6:$A$17,Calculos!B120)</f>
        <v>0</v>
      </c>
      <c r="M120" s="149">
        <f t="shared" si="22"/>
        <v>0</v>
      </c>
      <c r="N120" s="518"/>
      <c r="O120" s="518"/>
    </row>
    <row r="121" spans="1:15" ht="15" customHeight="1" x14ac:dyDescent="0.2">
      <c r="A121" s="525"/>
      <c r="B121" s="150"/>
      <c r="C121" s="121"/>
      <c r="D121" s="119"/>
      <c r="E121" s="147">
        <f>IFERROR(VLOOKUP(B121,'Tabla Honorarios 2023'!$A$27:$H$60,7,0),0)</f>
        <v>0</v>
      </c>
      <c r="F121" s="151"/>
      <c r="G121" s="144"/>
      <c r="H121" s="144"/>
      <c r="I121" s="147">
        <f t="shared" si="20"/>
        <v>0</v>
      </c>
      <c r="J121" s="147">
        <f t="shared" si="21"/>
        <v>0</v>
      </c>
      <c r="K121" s="521"/>
      <c r="L121" s="149">
        <f>SUMIFS(TablaViaticos2021!$D$6:$D$17,TablaViaticos2021!$A$6:$A$17,Calculos!B121)</f>
        <v>0</v>
      </c>
      <c r="M121" s="149">
        <f t="shared" si="22"/>
        <v>0</v>
      </c>
      <c r="N121" s="518"/>
      <c r="O121" s="518"/>
    </row>
    <row r="122" spans="1:15" ht="15" customHeight="1" x14ac:dyDescent="0.2">
      <c r="A122" s="525"/>
      <c r="B122" s="150"/>
      <c r="C122" s="121"/>
      <c r="D122" s="119"/>
      <c r="E122" s="147">
        <f>IFERROR(VLOOKUP(B122,'Tabla Honorarios 2023'!$A$27:$H$60,7,0),0)</f>
        <v>0</v>
      </c>
      <c r="F122" s="151"/>
      <c r="G122" s="144"/>
      <c r="H122" s="144"/>
      <c r="I122" s="147">
        <f t="shared" si="20"/>
        <v>0</v>
      </c>
      <c r="J122" s="147">
        <f t="shared" si="21"/>
        <v>0</v>
      </c>
      <c r="K122" s="522"/>
      <c r="L122" s="149">
        <f>SUMIFS(TablaViaticos2021!$D$6:$D$17,TablaViaticos2021!$A$6:$A$17,Calculos!B122)</f>
        <v>0</v>
      </c>
      <c r="M122" s="149">
        <f t="shared" si="22"/>
        <v>0</v>
      </c>
      <c r="N122" s="519"/>
      <c r="O122" s="519"/>
    </row>
    <row r="123" spans="1:15" ht="15" customHeight="1" x14ac:dyDescent="0.2">
      <c r="A123" s="525" t="s">
        <v>445</v>
      </c>
      <c r="B123" s="150"/>
      <c r="C123" s="121" t="s">
        <v>448</v>
      </c>
      <c r="D123" s="119"/>
      <c r="E123" s="147">
        <f>IFERROR(VLOOKUP(B123,'Tabla Honorarios 2023'!$A$27:$H$60,7,0),0)</f>
        <v>0</v>
      </c>
      <c r="F123" s="151"/>
      <c r="G123" s="144"/>
      <c r="H123" s="144"/>
      <c r="I123" s="147">
        <f t="shared" si="20"/>
        <v>0</v>
      </c>
      <c r="J123" s="147">
        <f t="shared" si="21"/>
        <v>0</v>
      </c>
      <c r="K123" s="520">
        <f t="shared" ref="K123" si="38">SUM(J123:J132)</f>
        <v>0</v>
      </c>
      <c r="L123" s="149">
        <f>SUMIFS(TablaViaticos2021!$D$6:$D$17,TablaViaticos2021!$A$6:$A$17,Calculos!B123)</f>
        <v>0</v>
      </c>
      <c r="M123" s="149">
        <f t="shared" si="22"/>
        <v>0</v>
      </c>
      <c r="N123" s="517">
        <f t="shared" ref="N123" si="39">SUM(M123:M132)</f>
        <v>0</v>
      </c>
      <c r="O123" s="517">
        <f t="shared" ref="O123" si="40">K123+N123</f>
        <v>0</v>
      </c>
    </row>
    <row r="124" spans="1:15" ht="15" customHeight="1" x14ac:dyDescent="0.2">
      <c r="A124" s="525"/>
      <c r="B124" s="150"/>
      <c r="C124" s="121" t="s">
        <v>449</v>
      </c>
      <c r="D124" s="119"/>
      <c r="E124" s="147">
        <f>IFERROR(VLOOKUP(B124,'Tabla Honorarios 2023'!$A$27:$H$60,7,0),0)</f>
        <v>0</v>
      </c>
      <c r="F124" s="151"/>
      <c r="G124" s="144"/>
      <c r="H124" s="144"/>
      <c r="I124" s="147">
        <f t="shared" si="20"/>
        <v>0</v>
      </c>
      <c r="J124" s="147">
        <f t="shared" si="21"/>
        <v>0</v>
      </c>
      <c r="K124" s="521"/>
      <c r="L124" s="149">
        <f>SUMIFS(TablaViaticos2021!$D$6:$D$17,TablaViaticos2021!$A$6:$A$17,Calculos!B124)</f>
        <v>0</v>
      </c>
      <c r="M124" s="149">
        <f t="shared" si="22"/>
        <v>0</v>
      </c>
      <c r="N124" s="518"/>
      <c r="O124" s="518"/>
    </row>
    <row r="125" spans="1:15" ht="15" customHeight="1" x14ac:dyDescent="0.2">
      <c r="A125" s="525"/>
      <c r="B125" s="150"/>
      <c r="C125" s="121" t="s">
        <v>468</v>
      </c>
      <c r="D125" s="119"/>
      <c r="E125" s="147">
        <f>IFERROR(VLOOKUP(B125,'Tabla Honorarios 2023'!$A$27:$H$60,7,0),0)</f>
        <v>0</v>
      </c>
      <c r="F125" s="151"/>
      <c r="G125" s="144"/>
      <c r="H125" s="144"/>
      <c r="I125" s="147">
        <f t="shared" si="20"/>
        <v>0</v>
      </c>
      <c r="J125" s="147">
        <f t="shared" si="21"/>
        <v>0</v>
      </c>
      <c r="K125" s="521"/>
      <c r="L125" s="149">
        <f>SUMIFS(TablaViaticos2021!$D$6:$D$17,TablaViaticos2021!$A$6:$A$17,Calculos!B125)</f>
        <v>0</v>
      </c>
      <c r="M125" s="149">
        <f t="shared" si="22"/>
        <v>0</v>
      </c>
      <c r="N125" s="518"/>
      <c r="O125" s="518"/>
    </row>
    <row r="126" spans="1:15" ht="15" customHeight="1" x14ac:dyDescent="0.2">
      <c r="A126" s="525"/>
      <c r="B126" s="150"/>
      <c r="C126" s="121" t="s">
        <v>456</v>
      </c>
      <c r="D126" s="119"/>
      <c r="E126" s="147">
        <f>IFERROR(VLOOKUP(B126,'Tabla Honorarios 2023'!$A$27:$H$60,7,0),0)</f>
        <v>0</v>
      </c>
      <c r="F126" s="151"/>
      <c r="G126" s="144"/>
      <c r="H126" s="144"/>
      <c r="I126" s="147">
        <f t="shared" si="20"/>
        <v>0</v>
      </c>
      <c r="J126" s="147">
        <f t="shared" si="21"/>
        <v>0</v>
      </c>
      <c r="K126" s="521"/>
      <c r="L126" s="149">
        <f>SUMIFS(TablaViaticos2021!$D$6:$D$17,TablaViaticos2021!$A$6:$A$17,Calculos!B126)</f>
        <v>0</v>
      </c>
      <c r="M126" s="149">
        <f t="shared" si="22"/>
        <v>0</v>
      </c>
      <c r="N126" s="518"/>
      <c r="O126" s="518"/>
    </row>
    <row r="127" spans="1:15" ht="15" customHeight="1" x14ac:dyDescent="0.2">
      <c r="A127" s="525"/>
      <c r="B127" s="150"/>
      <c r="C127" s="121" t="s">
        <v>452</v>
      </c>
      <c r="D127" s="119"/>
      <c r="E127" s="147">
        <f>IFERROR(VLOOKUP(B127,'Tabla Honorarios 2023'!$A$27:$H$60,7,0),0)</f>
        <v>0</v>
      </c>
      <c r="F127" s="151"/>
      <c r="G127" s="144"/>
      <c r="H127" s="144"/>
      <c r="I127" s="147">
        <f t="shared" si="20"/>
        <v>0</v>
      </c>
      <c r="J127" s="147">
        <f t="shared" si="21"/>
        <v>0</v>
      </c>
      <c r="K127" s="521"/>
      <c r="L127" s="149">
        <f>SUMIFS(TablaViaticos2021!$D$6:$D$17,TablaViaticos2021!$A$6:$A$17,Calculos!B127)</f>
        <v>0</v>
      </c>
      <c r="M127" s="149">
        <f t="shared" si="22"/>
        <v>0</v>
      </c>
      <c r="N127" s="518"/>
      <c r="O127" s="518"/>
    </row>
    <row r="128" spans="1:15" ht="15" customHeight="1" x14ac:dyDescent="0.2">
      <c r="A128" s="525"/>
      <c r="B128" s="150"/>
      <c r="C128" s="121"/>
      <c r="D128" s="119"/>
      <c r="E128" s="147">
        <f>IFERROR(VLOOKUP(B128,'Tabla Honorarios 2023'!$A$27:$H$60,7,0),0)</f>
        <v>0</v>
      </c>
      <c r="F128" s="151"/>
      <c r="G128" s="144"/>
      <c r="H128" s="144"/>
      <c r="I128" s="147">
        <f t="shared" si="20"/>
        <v>0</v>
      </c>
      <c r="J128" s="147">
        <f t="shared" si="21"/>
        <v>0</v>
      </c>
      <c r="K128" s="521"/>
      <c r="L128" s="149">
        <f>SUMIFS(TablaViaticos2021!$D$6:$D$17,TablaViaticos2021!$A$6:$A$17,Calculos!B128)</f>
        <v>0</v>
      </c>
      <c r="M128" s="149">
        <f t="shared" si="22"/>
        <v>0</v>
      </c>
      <c r="N128" s="518"/>
      <c r="O128" s="518"/>
    </row>
    <row r="129" spans="1:15" ht="15" customHeight="1" x14ac:dyDescent="0.2">
      <c r="A129" s="525"/>
      <c r="B129" s="150"/>
      <c r="C129" s="121"/>
      <c r="D129" s="119"/>
      <c r="E129" s="147">
        <f>IFERROR(VLOOKUP(B129,'Tabla Honorarios 2023'!$A$27:$H$60,7,0),0)</f>
        <v>0</v>
      </c>
      <c r="F129" s="151"/>
      <c r="G129" s="144"/>
      <c r="H129" s="144"/>
      <c r="I129" s="147">
        <f t="shared" si="20"/>
        <v>0</v>
      </c>
      <c r="J129" s="147">
        <f t="shared" si="21"/>
        <v>0</v>
      </c>
      <c r="K129" s="521"/>
      <c r="L129" s="149">
        <f>SUMIFS(TablaViaticos2021!$D$6:$D$17,TablaViaticos2021!$A$6:$A$17,Calculos!B129)</f>
        <v>0</v>
      </c>
      <c r="M129" s="149">
        <f t="shared" si="22"/>
        <v>0</v>
      </c>
      <c r="N129" s="518"/>
      <c r="O129" s="518"/>
    </row>
    <row r="130" spans="1:15" ht="15" customHeight="1" x14ac:dyDescent="0.2">
      <c r="A130" s="525"/>
      <c r="B130" s="150"/>
      <c r="C130" s="121"/>
      <c r="D130" s="119"/>
      <c r="E130" s="147">
        <f>IFERROR(VLOOKUP(B130,'Tabla Honorarios 2023'!$A$27:$H$60,7,0),0)</f>
        <v>0</v>
      </c>
      <c r="F130" s="151"/>
      <c r="G130" s="144"/>
      <c r="H130" s="144"/>
      <c r="I130" s="147">
        <f t="shared" si="20"/>
        <v>0</v>
      </c>
      <c r="J130" s="147">
        <f t="shared" si="21"/>
        <v>0</v>
      </c>
      <c r="K130" s="521"/>
      <c r="L130" s="149">
        <f>SUMIFS(TablaViaticos2021!$D$6:$D$17,TablaViaticos2021!$A$6:$A$17,Calculos!B130)</f>
        <v>0</v>
      </c>
      <c r="M130" s="149">
        <f t="shared" si="22"/>
        <v>0</v>
      </c>
      <c r="N130" s="518"/>
      <c r="O130" s="518"/>
    </row>
    <row r="131" spans="1:15" ht="15" customHeight="1" x14ac:dyDescent="0.2">
      <c r="A131" s="525"/>
      <c r="B131" s="150"/>
      <c r="C131" s="121"/>
      <c r="D131" s="119"/>
      <c r="E131" s="147">
        <f>IFERROR(VLOOKUP(B131,'Tabla Honorarios 2023'!$A$27:$H$60,7,0),0)</f>
        <v>0</v>
      </c>
      <c r="F131" s="151"/>
      <c r="G131" s="144"/>
      <c r="H131" s="144"/>
      <c r="I131" s="147">
        <f t="shared" si="20"/>
        <v>0</v>
      </c>
      <c r="J131" s="147">
        <f t="shared" si="21"/>
        <v>0</v>
      </c>
      <c r="K131" s="521"/>
      <c r="L131" s="149">
        <f>SUMIFS(TablaViaticos2021!$D$6:$D$17,TablaViaticos2021!$A$6:$A$17,Calculos!B131)</f>
        <v>0</v>
      </c>
      <c r="M131" s="149">
        <f t="shared" si="22"/>
        <v>0</v>
      </c>
      <c r="N131" s="518"/>
      <c r="O131" s="518"/>
    </row>
    <row r="132" spans="1:15" ht="15" customHeight="1" x14ac:dyDescent="0.2">
      <c r="A132" s="525"/>
      <c r="B132" s="150"/>
      <c r="C132" s="121"/>
      <c r="D132" s="119"/>
      <c r="E132" s="147">
        <f>IFERROR(VLOOKUP(B132,'Tabla Honorarios 2023'!$A$27:$H$60,7,0),0)</f>
        <v>0</v>
      </c>
      <c r="F132" s="151"/>
      <c r="G132" s="144"/>
      <c r="H132" s="144"/>
      <c r="I132" s="147">
        <f t="shared" ref="I132:I162" si="41">G132*H132</f>
        <v>0</v>
      </c>
      <c r="J132" s="147">
        <f t="shared" ref="J132:J162" si="42">(E132*F132)*I132</f>
        <v>0</v>
      </c>
      <c r="K132" s="522"/>
      <c r="L132" s="149">
        <f>SUMIFS(TablaViaticos2021!$D$6:$D$17,TablaViaticos2021!$A$6:$A$17,Calculos!B132)</f>
        <v>0</v>
      </c>
      <c r="M132" s="149">
        <f t="shared" ref="M132:M162" si="43">I132*L132</f>
        <v>0</v>
      </c>
      <c r="N132" s="519"/>
      <c r="O132" s="519"/>
    </row>
    <row r="133" spans="1:15" ht="15" customHeight="1" x14ac:dyDescent="0.2">
      <c r="A133" s="525" t="s">
        <v>447</v>
      </c>
      <c r="B133" s="150"/>
      <c r="C133" s="121" t="s">
        <v>448</v>
      </c>
      <c r="D133" s="119"/>
      <c r="E133" s="147">
        <f>IFERROR(VLOOKUP(B133,'Tabla Honorarios 2023'!$A$27:$H$60,7,0),0)</f>
        <v>0</v>
      </c>
      <c r="F133" s="151"/>
      <c r="G133" s="144"/>
      <c r="H133" s="144"/>
      <c r="I133" s="147">
        <f t="shared" si="41"/>
        <v>0</v>
      </c>
      <c r="J133" s="147">
        <f t="shared" si="42"/>
        <v>0</v>
      </c>
      <c r="K133" s="520">
        <f t="shared" ref="K133" si="44">SUM(J133:J142)</f>
        <v>0</v>
      </c>
      <c r="L133" s="149">
        <f>SUMIFS(TablaViaticos2021!$D$6:$D$17,TablaViaticos2021!$A$6:$A$17,Calculos!B133)</f>
        <v>0</v>
      </c>
      <c r="M133" s="149">
        <f t="shared" si="43"/>
        <v>0</v>
      </c>
      <c r="N133" s="517">
        <f t="shared" ref="N133" si="45">SUM(M133:M142)</f>
        <v>0</v>
      </c>
      <c r="O133" s="517">
        <f t="shared" ref="O133" si="46">K133+N133</f>
        <v>0</v>
      </c>
    </row>
    <row r="134" spans="1:15" ht="15" customHeight="1" x14ac:dyDescent="0.2">
      <c r="A134" s="525"/>
      <c r="B134" s="150"/>
      <c r="C134" s="121" t="s">
        <v>449</v>
      </c>
      <c r="D134" s="119"/>
      <c r="E134" s="147">
        <f>IFERROR(VLOOKUP(B134,'Tabla Honorarios 2023'!$A$27:$H$60,7,0),0)</f>
        <v>0</v>
      </c>
      <c r="F134" s="151"/>
      <c r="G134" s="144"/>
      <c r="H134" s="144"/>
      <c r="I134" s="147">
        <f t="shared" si="41"/>
        <v>0</v>
      </c>
      <c r="J134" s="147">
        <f t="shared" si="42"/>
        <v>0</v>
      </c>
      <c r="K134" s="521"/>
      <c r="L134" s="149">
        <f>SUMIFS(TablaViaticos2021!$D$6:$D$17,TablaViaticos2021!$A$6:$A$17,Calculos!B134)</f>
        <v>0</v>
      </c>
      <c r="M134" s="149">
        <f t="shared" si="43"/>
        <v>0</v>
      </c>
      <c r="N134" s="518"/>
      <c r="O134" s="518"/>
    </row>
    <row r="135" spans="1:15" ht="15" customHeight="1" x14ac:dyDescent="0.2">
      <c r="A135" s="525"/>
      <c r="B135" s="150"/>
      <c r="C135" s="121" t="s">
        <v>454</v>
      </c>
      <c r="D135" s="119"/>
      <c r="E135" s="147">
        <f>IFERROR(VLOOKUP(B135,'Tabla Honorarios 2023'!$A$27:$H$60,7,0),0)</f>
        <v>0</v>
      </c>
      <c r="F135" s="151"/>
      <c r="G135" s="144"/>
      <c r="H135" s="144"/>
      <c r="I135" s="147">
        <f t="shared" si="41"/>
        <v>0</v>
      </c>
      <c r="J135" s="147">
        <f t="shared" si="42"/>
        <v>0</v>
      </c>
      <c r="K135" s="521"/>
      <c r="L135" s="149">
        <f>SUMIFS(TablaViaticos2021!$D$6:$D$17,TablaViaticos2021!$A$6:$A$17,Calculos!B135)</f>
        <v>0</v>
      </c>
      <c r="M135" s="149">
        <f t="shared" si="43"/>
        <v>0</v>
      </c>
      <c r="N135" s="518"/>
      <c r="O135" s="518"/>
    </row>
    <row r="136" spans="1:15" ht="15" customHeight="1" x14ac:dyDescent="0.2">
      <c r="A136" s="525"/>
      <c r="B136" s="150"/>
      <c r="C136" s="121"/>
      <c r="D136" s="119"/>
      <c r="E136" s="147">
        <f>IFERROR(VLOOKUP(B136,'Tabla Honorarios 2023'!$A$27:$H$60,7,0),0)</f>
        <v>0</v>
      </c>
      <c r="F136" s="151"/>
      <c r="G136" s="144"/>
      <c r="H136" s="144"/>
      <c r="I136" s="147">
        <f t="shared" si="41"/>
        <v>0</v>
      </c>
      <c r="J136" s="147">
        <f t="shared" si="42"/>
        <v>0</v>
      </c>
      <c r="K136" s="521"/>
      <c r="L136" s="149">
        <f>SUMIFS(TablaViaticos2021!$D$6:$D$17,TablaViaticos2021!$A$6:$A$17,Calculos!B136)</f>
        <v>0</v>
      </c>
      <c r="M136" s="149">
        <f t="shared" si="43"/>
        <v>0</v>
      </c>
      <c r="N136" s="518"/>
      <c r="O136" s="518"/>
    </row>
    <row r="137" spans="1:15" ht="15" customHeight="1" x14ac:dyDescent="0.2">
      <c r="A137" s="525"/>
      <c r="B137" s="150"/>
      <c r="C137" s="121"/>
      <c r="D137" s="119"/>
      <c r="E137" s="147">
        <f>IFERROR(VLOOKUP(B137,'Tabla Honorarios 2023'!$A$27:$H$60,7,0),0)</f>
        <v>0</v>
      </c>
      <c r="F137" s="151"/>
      <c r="G137" s="144"/>
      <c r="H137" s="144"/>
      <c r="I137" s="147">
        <f t="shared" si="41"/>
        <v>0</v>
      </c>
      <c r="J137" s="147">
        <f t="shared" si="42"/>
        <v>0</v>
      </c>
      <c r="K137" s="521"/>
      <c r="L137" s="149">
        <f>SUMIFS(TablaViaticos2021!$D$6:$D$17,TablaViaticos2021!$A$6:$A$17,Calculos!B137)</f>
        <v>0</v>
      </c>
      <c r="M137" s="149">
        <f t="shared" si="43"/>
        <v>0</v>
      </c>
      <c r="N137" s="518"/>
      <c r="O137" s="518"/>
    </row>
    <row r="138" spans="1:15" ht="15" customHeight="1" x14ac:dyDescent="0.2">
      <c r="A138" s="525"/>
      <c r="B138" s="150"/>
      <c r="C138" s="121"/>
      <c r="D138" s="119"/>
      <c r="E138" s="147">
        <f>IFERROR(VLOOKUP(B138,'Tabla Honorarios 2023'!$A$27:$H$60,7,0),0)</f>
        <v>0</v>
      </c>
      <c r="F138" s="151"/>
      <c r="G138" s="144"/>
      <c r="H138" s="144"/>
      <c r="I138" s="147">
        <f t="shared" si="41"/>
        <v>0</v>
      </c>
      <c r="J138" s="147">
        <f t="shared" si="42"/>
        <v>0</v>
      </c>
      <c r="K138" s="521"/>
      <c r="L138" s="149">
        <f>SUMIFS(TablaViaticos2021!$D$6:$D$17,TablaViaticos2021!$A$6:$A$17,Calculos!B138)</f>
        <v>0</v>
      </c>
      <c r="M138" s="149">
        <f t="shared" si="43"/>
        <v>0</v>
      </c>
      <c r="N138" s="518"/>
      <c r="O138" s="518"/>
    </row>
    <row r="139" spans="1:15" ht="15" customHeight="1" x14ac:dyDescent="0.2">
      <c r="A139" s="525"/>
      <c r="B139" s="150"/>
      <c r="C139" s="121"/>
      <c r="D139" s="119"/>
      <c r="E139" s="147">
        <f>IFERROR(VLOOKUP(B139,'Tabla Honorarios 2023'!$A$27:$H$60,7,0),0)</f>
        <v>0</v>
      </c>
      <c r="F139" s="151"/>
      <c r="G139" s="144"/>
      <c r="H139" s="144"/>
      <c r="I139" s="147">
        <f t="shared" si="41"/>
        <v>0</v>
      </c>
      <c r="J139" s="147">
        <f t="shared" si="42"/>
        <v>0</v>
      </c>
      <c r="K139" s="521"/>
      <c r="L139" s="149">
        <f>SUMIFS(TablaViaticos2021!$D$6:$D$17,TablaViaticos2021!$A$6:$A$17,Calculos!B139)</f>
        <v>0</v>
      </c>
      <c r="M139" s="149">
        <f t="shared" si="43"/>
        <v>0</v>
      </c>
      <c r="N139" s="518"/>
      <c r="O139" s="518"/>
    </row>
    <row r="140" spans="1:15" ht="15" customHeight="1" x14ac:dyDescent="0.2">
      <c r="A140" s="525"/>
      <c r="B140" s="150"/>
      <c r="C140" s="121"/>
      <c r="D140" s="119"/>
      <c r="E140" s="147">
        <f>IFERROR(VLOOKUP(B140,'Tabla Honorarios 2023'!$A$27:$H$60,7,0),0)</f>
        <v>0</v>
      </c>
      <c r="F140" s="151"/>
      <c r="G140" s="144"/>
      <c r="H140" s="144"/>
      <c r="I140" s="147">
        <f t="shared" si="41"/>
        <v>0</v>
      </c>
      <c r="J140" s="147">
        <f t="shared" si="42"/>
        <v>0</v>
      </c>
      <c r="K140" s="521"/>
      <c r="L140" s="149">
        <f>SUMIFS(TablaViaticos2021!$D$6:$D$17,TablaViaticos2021!$A$6:$A$17,Calculos!B140)</f>
        <v>0</v>
      </c>
      <c r="M140" s="149">
        <f t="shared" si="43"/>
        <v>0</v>
      </c>
      <c r="N140" s="518"/>
      <c r="O140" s="518"/>
    </row>
    <row r="141" spans="1:15" ht="15" customHeight="1" x14ac:dyDescent="0.2">
      <c r="A141" s="525"/>
      <c r="B141" s="150"/>
      <c r="C141" s="121"/>
      <c r="D141" s="119"/>
      <c r="E141" s="147">
        <f>IFERROR(VLOOKUP(B141,'Tabla Honorarios 2023'!$A$27:$H$60,7,0),0)</f>
        <v>0</v>
      </c>
      <c r="F141" s="151"/>
      <c r="G141" s="144"/>
      <c r="H141" s="144"/>
      <c r="I141" s="147">
        <f t="shared" si="41"/>
        <v>0</v>
      </c>
      <c r="J141" s="147">
        <f t="shared" si="42"/>
        <v>0</v>
      </c>
      <c r="K141" s="521"/>
      <c r="L141" s="149">
        <f>SUMIFS(TablaViaticos2021!$D$6:$D$17,TablaViaticos2021!$A$6:$A$17,Calculos!B141)</f>
        <v>0</v>
      </c>
      <c r="M141" s="149">
        <f t="shared" si="43"/>
        <v>0</v>
      </c>
      <c r="N141" s="518"/>
      <c r="O141" s="518"/>
    </row>
    <row r="142" spans="1:15" ht="15" customHeight="1" x14ac:dyDescent="0.2">
      <c r="A142" s="525"/>
      <c r="B142" s="150"/>
      <c r="C142" s="121"/>
      <c r="D142" s="119"/>
      <c r="E142" s="147">
        <f>IFERROR(VLOOKUP(B142,'Tabla Honorarios 2023'!$A$27:$H$60,7,0),0)</f>
        <v>0</v>
      </c>
      <c r="F142" s="151"/>
      <c r="G142" s="144"/>
      <c r="H142" s="144"/>
      <c r="I142" s="147">
        <f t="shared" si="41"/>
        <v>0</v>
      </c>
      <c r="J142" s="147">
        <f t="shared" si="42"/>
        <v>0</v>
      </c>
      <c r="K142" s="522"/>
      <c r="L142" s="149">
        <f>SUMIFS(TablaViaticos2021!$D$6:$D$17,TablaViaticos2021!$A$6:$A$17,Calculos!B142)</f>
        <v>0</v>
      </c>
      <c r="M142" s="149">
        <f t="shared" si="43"/>
        <v>0</v>
      </c>
      <c r="N142" s="519"/>
      <c r="O142" s="519"/>
    </row>
    <row r="143" spans="1:15" ht="15" customHeight="1" x14ac:dyDescent="0.2">
      <c r="A143" s="525" t="s">
        <v>446</v>
      </c>
      <c r="B143" s="150"/>
      <c r="C143" s="121" t="s">
        <v>448</v>
      </c>
      <c r="D143" s="119"/>
      <c r="E143" s="147">
        <f>IFERROR(VLOOKUP(B143,'Tabla Honorarios 2023'!$A$27:$H$60,7,0),0)</f>
        <v>0</v>
      </c>
      <c r="F143" s="151"/>
      <c r="G143" s="144"/>
      <c r="H143" s="144"/>
      <c r="I143" s="147">
        <f t="shared" si="41"/>
        <v>0</v>
      </c>
      <c r="J143" s="147">
        <f t="shared" si="42"/>
        <v>0</v>
      </c>
      <c r="K143" s="520">
        <f t="shared" ref="K143" si="47">SUM(J143:J152)</f>
        <v>0</v>
      </c>
      <c r="L143" s="149">
        <f>SUMIFS(TablaViaticos2021!$D$6:$D$17,TablaViaticos2021!$A$6:$A$17,Calculos!B143)</f>
        <v>0</v>
      </c>
      <c r="M143" s="149">
        <f t="shared" si="43"/>
        <v>0</v>
      </c>
      <c r="N143" s="517">
        <f t="shared" ref="N143" si="48">SUM(M143:M152)</f>
        <v>0</v>
      </c>
      <c r="O143" s="517">
        <f t="shared" ref="O143" si="49">K143+N143</f>
        <v>0</v>
      </c>
    </row>
    <row r="144" spans="1:15" ht="15" customHeight="1" x14ac:dyDescent="0.2">
      <c r="A144" s="525"/>
      <c r="B144" s="150"/>
      <c r="C144" s="121" t="s">
        <v>449</v>
      </c>
      <c r="D144" s="119"/>
      <c r="E144" s="147">
        <f>IFERROR(VLOOKUP(B144,'Tabla Honorarios 2023'!$A$27:$H$60,7,0),0)</f>
        <v>0</v>
      </c>
      <c r="F144" s="151"/>
      <c r="G144" s="144"/>
      <c r="H144" s="144"/>
      <c r="I144" s="147">
        <f t="shared" si="41"/>
        <v>0</v>
      </c>
      <c r="J144" s="147">
        <f t="shared" si="42"/>
        <v>0</v>
      </c>
      <c r="K144" s="521"/>
      <c r="L144" s="149">
        <f>SUMIFS(TablaViaticos2021!$D$6:$D$17,TablaViaticos2021!$A$6:$A$17,Calculos!B144)</f>
        <v>0</v>
      </c>
      <c r="M144" s="149">
        <f t="shared" si="43"/>
        <v>0</v>
      </c>
      <c r="N144" s="518"/>
      <c r="O144" s="518"/>
    </row>
    <row r="145" spans="1:15" ht="15" customHeight="1" x14ac:dyDescent="0.2">
      <c r="A145" s="525"/>
      <c r="B145" s="150"/>
      <c r="C145" s="121" t="s">
        <v>450</v>
      </c>
      <c r="D145" s="119"/>
      <c r="E145" s="147">
        <f>IFERROR(VLOOKUP(B145,'Tabla Honorarios 2023'!$A$27:$H$60,7,0),0)</f>
        <v>0</v>
      </c>
      <c r="F145" s="151"/>
      <c r="G145" s="144"/>
      <c r="H145" s="144"/>
      <c r="I145" s="147">
        <f t="shared" si="41"/>
        <v>0</v>
      </c>
      <c r="J145" s="147">
        <f t="shared" si="42"/>
        <v>0</v>
      </c>
      <c r="K145" s="521"/>
      <c r="L145" s="149">
        <f>SUMIFS(TablaViaticos2021!$D$6:$D$17,TablaViaticos2021!$A$6:$A$17,Calculos!B145)</f>
        <v>0</v>
      </c>
      <c r="M145" s="149">
        <f t="shared" si="43"/>
        <v>0</v>
      </c>
      <c r="N145" s="518"/>
      <c r="O145" s="518"/>
    </row>
    <row r="146" spans="1:15" ht="15" customHeight="1" x14ac:dyDescent="0.2">
      <c r="A146" s="525"/>
      <c r="B146" s="150"/>
      <c r="C146" s="121" t="s">
        <v>454</v>
      </c>
      <c r="D146" s="119"/>
      <c r="E146" s="147">
        <f>IFERROR(VLOOKUP(B146,'Tabla Honorarios 2023'!$A$27:$H$60,7,0),0)</f>
        <v>0</v>
      </c>
      <c r="F146" s="151"/>
      <c r="G146" s="144"/>
      <c r="H146" s="144"/>
      <c r="I146" s="147">
        <f t="shared" si="41"/>
        <v>0</v>
      </c>
      <c r="J146" s="147">
        <f t="shared" si="42"/>
        <v>0</v>
      </c>
      <c r="K146" s="521"/>
      <c r="L146" s="149">
        <f>SUMIFS(TablaViaticos2021!$D$6:$D$17,TablaViaticos2021!$A$6:$A$17,Calculos!B146)</f>
        <v>0</v>
      </c>
      <c r="M146" s="149">
        <f t="shared" si="43"/>
        <v>0</v>
      </c>
      <c r="N146" s="518"/>
      <c r="O146" s="518"/>
    </row>
    <row r="147" spans="1:15" ht="15" customHeight="1" x14ac:dyDescent="0.2">
      <c r="A147" s="525"/>
      <c r="B147" s="150"/>
      <c r="C147" s="121" t="s">
        <v>452</v>
      </c>
      <c r="D147" s="119"/>
      <c r="E147" s="147">
        <f>IFERROR(VLOOKUP(B147,'Tabla Honorarios 2023'!$A$27:$H$60,7,0),0)</f>
        <v>0</v>
      </c>
      <c r="F147" s="151"/>
      <c r="G147" s="144"/>
      <c r="H147" s="144"/>
      <c r="I147" s="147">
        <f t="shared" si="41"/>
        <v>0</v>
      </c>
      <c r="J147" s="147">
        <f t="shared" si="42"/>
        <v>0</v>
      </c>
      <c r="K147" s="521"/>
      <c r="L147" s="149">
        <f>SUMIFS(TablaViaticos2021!$D$6:$D$17,TablaViaticos2021!$A$6:$A$17,Calculos!B147)</f>
        <v>0</v>
      </c>
      <c r="M147" s="149">
        <f t="shared" si="43"/>
        <v>0</v>
      </c>
      <c r="N147" s="518"/>
      <c r="O147" s="518"/>
    </row>
    <row r="148" spans="1:15" ht="15" customHeight="1" x14ac:dyDescent="0.2">
      <c r="A148" s="525"/>
      <c r="B148" s="150"/>
      <c r="C148" s="121"/>
      <c r="D148" s="119"/>
      <c r="E148" s="147">
        <f>IFERROR(VLOOKUP(B148,'Tabla Honorarios 2023'!$A$27:$H$60,7,0),0)</f>
        <v>0</v>
      </c>
      <c r="F148" s="151"/>
      <c r="G148" s="144"/>
      <c r="H148" s="144"/>
      <c r="I148" s="147">
        <f t="shared" si="41"/>
        <v>0</v>
      </c>
      <c r="J148" s="147">
        <f t="shared" si="42"/>
        <v>0</v>
      </c>
      <c r="K148" s="521"/>
      <c r="L148" s="149">
        <f>SUMIFS(TablaViaticos2021!$D$6:$D$17,TablaViaticos2021!$A$6:$A$17,Calculos!B148)</f>
        <v>0</v>
      </c>
      <c r="M148" s="149">
        <f t="shared" si="43"/>
        <v>0</v>
      </c>
      <c r="N148" s="518"/>
      <c r="O148" s="518"/>
    </row>
    <row r="149" spans="1:15" ht="15" customHeight="1" x14ac:dyDescent="0.2">
      <c r="A149" s="525"/>
      <c r="B149" s="150"/>
      <c r="C149" s="121"/>
      <c r="D149" s="119"/>
      <c r="E149" s="147">
        <f>IFERROR(VLOOKUP(B149,'Tabla Honorarios 2023'!$A$27:$H$60,7,0),0)</f>
        <v>0</v>
      </c>
      <c r="F149" s="151"/>
      <c r="G149" s="144"/>
      <c r="H149" s="144"/>
      <c r="I149" s="147">
        <f t="shared" si="41"/>
        <v>0</v>
      </c>
      <c r="J149" s="147">
        <f t="shared" si="42"/>
        <v>0</v>
      </c>
      <c r="K149" s="521"/>
      <c r="L149" s="149">
        <f>SUMIFS(TablaViaticos2021!$D$6:$D$17,TablaViaticos2021!$A$6:$A$17,Calculos!B149)</f>
        <v>0</v>
      </c>
      <c r="M149" s="149">
        <f t="shared" si="43"/>
        <v>0</v>
      </c>
      <c r="N149" s="518"/>
      <c r="O149" s="518"/>
    </row>
    <row r="150" spans="1:15" ht="15" customHeight="1" x14ac:dyDescent="0.2">
      <c r="A150" s="525"/>
      <c r="B150" s="150"/>
      <c r="C150" s="121"/>
      <c r="D150" s="119"/>
      <c r="E150" s="147">
        <f>IFERROR(VLOOKUP(B150,'Tabla Honorarios 2023'!$A$27:$H$60,7,0),0)</f>
        <v>0</v>
      </c>
      <c r="F150" s="151"/>
      <c r="G150" s="144"/>
      <c r="H150" s="144"/>
      <c r="I150" s="147">
        <f t="shared" si="41"/>
        <v>0</v>
      </c>
      <c r="J150" s="147">
        <f t="shared" si="42"/>
        <v>0</v>
      </c>
      <c r="K150" s="521"/>
      <c r="L150" s="149">
        <f>SUMIFS(TablaViaticos2021!$D$6:$D$17,TablaViaticos2021!$A$6:$A$17,Calculos!B150)</f>
        <v>0</v>
      </c>
      <c r="M150" s="149">
        <f t="shared" si="43"/>
        <v>0</v>
      </c>
      <c r="N150" s="518"/>
      <c r="O150" s="518"/>
    </row>
    <row r="151" spans="1:15" ht="15" customHeight="1" x14ac:dyDescent="0.2">
      <c r="A151" s="525"/>
      <c r="B151" s="150"/>
      <c r="C151" s="121"/>
      <c r="D151" s="119"/>
      <c r="E151" s="147">
        <f>IFERROR(VLOOKUP(B151,'Tabla Honorarios 2023'!$A$27:$H$60,7,0),0)</f>
        <v>0</v>
      </c>
      <c r="F151" s="151"/>
      <c r="G151" s="144"/>
      <c r="H151" s="144"/>
      <c r="I151" s="147">
        <f t="shared" si="41"/>
        <v>0</v>
      </c>
      <c r="J151" s="147">
        <f t="shared" si="42"/>
        <v>0</v>
      </c>
      <c r="K151" s="521"/>
      <c r="L151" s="149">
        <f>SUMIFS(TablaViaticos2021!$D$6:$D$17,TablaViaticos2021!$A$6:$A$17,Calculos!B151)</f>
        <v>0</v>
      </c>
      <c r="M151" s="149">
        <f t="shared" si="43"/>
        <v>0</v>
      </c>
      <c r="N151" s="518"/>
      <c r="O151" s="518"/>
    </row>
    <row r="152" spans="1:15" ht="15" customHeight="1" x14ac:dyDescent="0.2">
      <c r="A152" s="525"/>
      <c r="B152" s="150"/>
      <c r="C152" s="121"/>
      <c r="D152" s="119"/>
      <c r="E152" s="147">
        <f>IFERROR(VLOOKUP(B152,'Tabla Honorarios 2023'!$A$27:$H$60,7,0),0)</f>
        <v>0</v>
      </c>
      <c r="F152" s="151"/>
      <c r="G152" s="144"/>
      <c r="H152" s="144"/>
      <c r="I152" s="147">
        <f t="shared" si="41"/>
        <v>0</v>
      </c>
      <c r="J152" s="147">
        <f t="shared" si="42"/>
        <v>0</v>
      </c>
      <c r="K152" s="522"/>
      <c r="L152" s="149">
        <f>SUMIFS(TablaViaticos2021!$D$6:$D$17,TablaViaticos2021!$A$6:$A$17,Calculos!B152)</f>
        <v>0</v>
      </c>
      <c r="M152" s="149">
        <f t="shared" si="43"/>
        <v>0</v>
      </c>
      <c r="N152" s="519"/>
      <c r="O152" s="519"/>
    </row>
    <row r="153" spans="1:15" ht="15" customHeight="1" x14ac:dyDescent="0.2">
      <c r="A153" s="122" t="s">
        <v>459</v>
      </c>
      <c r="B153" s="150"/>
      <c r="C153" s="121" t="s">
        <v>448</v>
      </c>
      <c r="D153" s="119"/>
      <c r="E153" s="147">
        <f>IFERROR(VLOOKUP(B153,'Tabla Honorarios 2023'!$A$27:$H$60,7,0),0)</f>
        <v>0</v>
      </c>
      <c r="F153" s="151"/>
      <c r="G153" s="144"/>
      <c r="H153" s="144"/>
      <c r="I153" s="147">
        <f t="shared" si="41"/>
        <v>0</v>
      </c>
      <c r="J153" s="147">
        <f t="shared" si="42"/>
        <v>0</v>
      </c>
      <c r="K153" s="520">
        <f t="shared" ref="K153" si="50">SUM(J153:J162)</f>
        <v>0</v>
      </c>
      <c r="L153" s="149">
        <f>SUMIFS(TablaViaticos2021!$D$6:$D$17,TablaViaticos2021!$A$6:$A$17,Calculos!B153)</f>
        <v>0</v>
      </c>
      <c r="M153" s="149">
        <f t="shared" si="43"/>
        <v>0</v>
      </c>
      <c r="N153" s="517">
        <f t="shared" ref="N153" si="51">SUM(M153:M162)</f>
        <v>0</v>
      </c>
      <c r="O153" s="517">
        <f t="shared" ref="O153" si="52">K153+N153</f>
        <v>0</v>
      </c>
    </row>
    <row r="154" spans="1:15" ht="15" customHeight="1" x14ac:dyDescent="0.2">
      <c r="A154" s="523" t="s">
        <v>460</v>
      </c>
      <c r="B154" s="150"/>
      <c r="C154" s="121" t="s">
        <v>449</v>
      </c>
      <c r="D154" s="119"/>
      <c r="E154" s="147">
        <f>IFERROR(VLOOKUP(B154,'Tabla Honorarios 2023'!$A$27:$H$60,7,0),0)</f>
        <v>0</v>
      </c>
      <c r="F154" s="151"/>
      <c r="G154" s="144"/>
      <c r="H154" s="144"/>
      <c r="I154" s="147">
        <f t="shared" si="41"/>
        <v>0</v>
      </c>
      <c r="J154" s="147">
        <f t="shared" si="42"/>
        <v>0</v>
      </c>
      <c r="K154" s="521"/>
      <c r="L154" s="149">
        <f>SUMIFS(TablaViaticos2021!$D$6:$D$17,TablaViaticos2021!$A$6:$A$17,Calculos!B154)</f>
        <v>0</v>
      </c>
      <c r="M154" s="149">
        <f t="shared" si="43"/>
        <v>0</v>
      </c>
      <c r="N154" s="518"/>
      <c r="O154" s="518"/>
    </row>
    <row r="155" spans="1:15" ht="15" customHeight="1" x14ac:dyDescent="0.2">
      <c r="A155" s="523"/>
      <c r="B155" s="150"/>
      <c r="C155" s="121" t="s">
        <v>456</v>
      </c>
      <c r="D155" s="119"/>
      <c r="E155" s="147">
        <f>IFERROR(VLOOKUP(B155,'Tabla Honorarios 2023'!$A$27:$H$60,7,0),0)</f>
        <v>0</v>
      </c>
      <c r="F155" s="151"/>
      <c r="G155" s="144"/>
      <c r="H155" s="144"/>
      <c r="I155" s="147">
        <f t="shared" si="41"/>
        <v>0</v>
      </c>
      <c r="J155" s="147">
        <f t="shared" si="42"/>
        <v>0</v>
      </c>
      <c r="K155" s="521"/>
      <c r="L155" s="149">
        <f>SUMIFS(TablaViaticos2021!$D$6:$D$17,TablaViaticos2021!$A$6:$A$17,Calculos!B155)</f>
        <v>0</v>
      </c>
      <c r="M155" s="149">
        <f t="shared" si="43"/>
        <v>0</v>
      </c>
      <c r="N155" s="518"/>
      <c r="O155" s="518"/>
    </row>
    <row r="156" spans="1:15" ht="15" customHeight="1" x14ac:dyDescent="0.2">
      <c r="A156" s="523"/>
      <c r="B156" s="150"/>
      <c r="C156" s="121" t="s">
        <v>457</v>
      </c>
      <c r="D156" s="119"/>
      <c r="E156" s="147">
        <f>IFERROR(VLOOKUP(B156,'Tabla Honorarios 2023'!$A$27:$H$60,7,0),0)</f>
        <v>0</v>
      </c>
      <c r="F156" s="151"/>
      <c r="G156" s="144"/>
      <c r="H156" s="144"/>
      <c r="I156" s="147">
        <f t="shared" si="41"/>
        <v>0</v>
      </c>
      <c r="J156" s="147">
        <f t="shared" si="42"/>
        <v>0</v>
      </c>
      <c r="K156" s="521"/>
      <c r="L156" s="149">
        <f>SUMIFS(TablaViaticos2021!$D$6:$D$17,TablaViaticos2021!$A$6:$A$17,Calculos!B156)</f>
        <v>0</v>
      </c>
      <c r="M156" s="149">
        <f t="shared" si="43"/>
        <v>0</v>
      </c>
      <c r="N156" s="518"/>
      <c r="O156" s="518"/>
    </row>
    <row r="157" spans="1:15" ht="15" customHeight="1" x14ac:dyDescent="0.2">
      <c r="A157" s="523"/>
      <c r="B157" s="150"/>
      <c r="C157" s="121" t="s">
        <v>452</v>
      </c>
      <c r="D157" s="119"/>
      <c r="E157" s="147">
        <f>IFERROR(VLOOKUP(B157,'Tabla Honorarios 2023'!$A$27:$H$60,7,0),0)</f>
        <v>0</v>
      </c>
      <c r="F157" s="151"/>
      <c r="G157" s="144"/>
      <c r="H157" s="144"/>
      <c r="I157" s="147">
        <f t="shared" si="41"/>
        <v>0</v>
      </c>
      <c r="J157" s="147">
        <f t="shared" si="42"/>
        <v>0</v>
      </c>
      <c r="K157" s="521"/>
      <c r="L157" s="149">
        <f>SUMIFS(TablaViaticos2021!$D$6:$D$17,TablaViaticos2021!$A$6:$A$17,Calculos!B157)</f>
        <v>0</v>
      </c>
      <c r="M157" s="149">
        <f t="shared" si="43"/>
        <v>0</v>
      </c>
      <c r="N157" s="518"/>
      <c r="O157" s="518"/>
    </row>
    <row r="158" spans="1:15" ht="15" customHeight="1" x14ac:dyDescent="0.2">
      <c r="A158" s="523"/>
      <c r="B158" s="150"/>
      <c r="C158" s="121"/>
      <c r="D158" s="119"/>
      <c r="E158" s="147">
        <f>IFERROR(VLOOKUP(B158,'Tabla Honorarios 2023'!$A$27:$H$60,7,0),0)</f>
        <v>0</v>
      </c>
      <c r="F158" s="151"/>
      <c r="G158" s="144"/>
      <c r="H158" s="144"/>
      <c r="I158" s="147">
        <f t="shared" si="41"/>
        <v>0</v>
      </c>
      <c r="J158" s="147">
        <f t="shared" si="42"/>
        <v>0</v>
      </c>
      <c r="K158" s="521"/>
      <c r="L158" s="149">
        <f>SUMIFS(TablaViaticos2021!$D$6:$D$17,TablaViaticos2021!$A$6:$A$17,Calculos!B158)</f>
        <v>0</v>
      </c>
      <c r="M158" s="149">
        <f t="shared" si="43"/>
        <v>0</v>
      </c>
      <c r="N158" s="518"/>
      <c r="O158" s="518"/>
    </row>
    <row r="159" spans="1:15" ht="15" customHeight="1" x14ac:dyDescent="0.2">
      <c r="A159" s="523"/>
      <c r="B159" s="150"/>
      <c r="C159" s="121"/>
      <c r="D159" s="119"/>
      <c r="E159" s="147">
        <f>IFERROR(VLOOKUP(B159,'Tabla Honorarios 2023'!$A$27:$H$60,7,0),0)</f>
        <v>0</v>
      </c>
      <c r="F159" s="151"/>
      <c r="G159" s="144"/>
      <c r="H159" s="144"/>
      <c r="I159" s="147">
        <f t="shared" si="41"/>
        <v>0</v>
      </c>
      <c r="J159" s="147">
        <f t="shared" si="42"/>
        <v>0</v>
      </c>
      <c r="K159" s="521"/>
      <c r="L159" s="149">
        <f>SUMIFS(TablaViaticos2021!$D$6:$D$17,TablaViaticos2021!$A$6:$A$17,Calculos!B159)</f>
        <v>0</v>
      </c>
      <c r="M159" s="149">
        <f t="shared" si="43"/>
        <v>0</v>
      </c>
      <c r="N159" s="518"/>
      <c r="O159" s="518"/>
    </row>
    <row r="160" spans="1:15" ht="15" customHeight="1" x14ac:dyDescent="0.2">
      <c r="A160" s="523"/>
      <c r="B160" s="150"/>
      <c r="C160" s="121"/>
      <c r="D160" s="119"/>
      <c r="E160" s="147">
        <f>IFERROR(VLOOKUP(B160,'Tabla Honorarios 2023'!$A$27:$H$60,7,0),0)</f>
        <v>0</v>
      </c>
      <c r="F160" s="151"/>
      <c r="G160" s="144"/>
      <c r="H160" s="144"/>
      <c r="I160" s="147">
        <f t="shared" si="41"/>
        <v>0</v>
      </c>
      <c r="J160" s="147">
        <f t="shared" si="42"/>
        <v>0</v>
      </c>
      <c r="K160" s="521"/>
      <c r="L160" s="149">
        <f>SUMIFS(TablaViaticos2021!$D$6:$D$17,TablaViaticos2021!$A$6:$A$17,Calculos!B160)</f>
        <v>0</v>
      </c>
      <c r="M160" s="149">
        <f t="shared" si="43"/>
        <v>0</v>
      </c>
      <c r="N160" s="518"/>
      <c r="O160" s="518"/>
    </row>
    <row r="161" spans="1:15" ht="15" customHeight="1" x14ac:dyDescent="0.2">
      <c r="A161" s="523"/>
      <c r="B161" s="150"/>
      <c r="C161" s="121"/>
      <c r="D161" s="119"/>
      <c r="E161" s="147">
        <f>IFERROR(VLOOKUP(B161,'Tabla Honorarios 2023'!$A$27:$H$60,7,0),0)</f>
        <v>0</v>
      </c>
      <c r="F161" s="151"/>
      <c r="G161" s="144"/>
      <c r="H161" s="144"/>
      <c r="I161" s="147">
        <f t="shared" si="41"/>
        <v>0</v>
      </c>
      <c r="J161" s="147">
        <f t="shared" si="42"/>
        <v>0</v>
      </c>
      <c r="K161" s="521"/>
      <c r="L161" s="149">
        <f>SUMIFS(TablaViaticos2021!$D$6:$D$17,TablaViaticos2021!$A$6:$A$17,Calculos!B161)</f>
        <v>0</v>
      </c>
      <c r="M161" s="149">
        <f t="shared" si="43"/>
        <v>0</v>
      </c>
      <c r="N161" s="518"/>
      <c r="O161" s="518"/>
    </row>
    <row r="162" spans="1:15" ht="15" customHeight="1" x14ac:dyDescent="0.2">
      <c r="A162" s="524"/>
      <c r="B162" s="150"/>
      <c r="C162" s="121"/>
      <c r="D162" s="119"/>
      <c r="E162" s="147">
        <f>IFERROR(VLOOKUP(B162,'Tabla Honorarios 2023'!$A$27:$H$60,7,0),0)</f>
        <v>0</v>
      </c>
      <c r="F162" s="151"/>
      <c r="G162" s="144"/>
      <c r="H162" s="144"/>
      <c r="I162" s="147">
        <f t="shared" si="41"/>
        <v>0</v>
      </c>
      <c r="J162" s="147">
        <f t="shared" si="42"/>
        <v>0</v>
      </c>
      <c r="K162" s="522"/>
      <c r="L162" s="149">
        <f>SUMIFS(TablaViaticos2021!$D$6:$D$17,TablaViaticos2021!$A$6:$A$17,Calculos!B162)</f>
        <v>0</v>
      </c>
      <c r="M162" s="149">
        <f t="shared" si="43"/>
        <v>0</v>
      </c>
      <c r="N162" s="519"/>
      <c r="O162" s="519"/>
    </row>
    <row r="163" spans="1:15" hidden="1" x14ac:dyDescent="0.2">
      <c r="A163" s="16" t="s">
        <v>12</v>
      </c>
      <c r="B163" s="16" t="s">
        <v>68</v>
      </c>
      <c r="C163" s="15">
        <v>11</v>
      </c>
    </row>
    <row r="164" spans="1:15" hidden="1" x14ac:dyDescent="0.2">
      <c r="A164" s="16" t="s">
        <v>12</v>
      </c>
      <c r="B164" s="16" t="s">
        <v>68</v>
      </c>
      <c r="C164" s="15">
        <v>8</v>
      </c>
    </row>
    <row r="165" spans="1:15" hidden="1" x14ac:dyDescent="0.2">
      <c r="A165" s="16" t="s">
        <v>12</v>
      </c>
      <c r="B165" s="16" t="s">
        <v>68</v>
      </c>
      <c r="C165" s="15">
        <v>1</v>
      </c>
    </row>
    <row r="166" spans="1:15" hidden="1" x14ac:dyDescent="0.2">
      <c r="A166" s="16" t="s">
        <v>13</v>
      </c>
      <c r="B166" s="16" t="s">
        <v>69</v>
      </c>
      <c r="C166" s="15">
        <v>16</v>
      </c>
    </row>
    <row r="167" spans="1:15" hidden="1" x14ac:dyDescent="0.2">
      <c r="A167" s="16" t="s">
        <v>13</v>
      </c>
      <c r="B167" s="16" t="s">
        <v>69</v>
      </c>
      <c r="C167" s="15">
        <v>14</v>
      </c>
    </row>
    <row r="168" spans="1:15" hidden="1" x14ac:dyDescent="0.2">
      <c r="A168" s="16" t="s">
        <v>13</v>
      </c>
      <c r="B168" s="16" t="s">
        <v>69</v>
      </c>
      <c r="C168" s="15">
        <v>13</v>
      </c>
    </row>
    <row r="169" spans="1:15" hidden="1" x14ac:dyDescent="0.2">
      <c r="A169" s="16" t="s">
        <v>15</v>
      </c>
      <c r="B169" s="16" t="s">
        <v>70</v>
      </c>
      <c r="C169" s="15">
        <v>18</v>
      </c>
    </row>
    <row r="170" spans="1:15" hidden="1" x14ac:dyDescent="0.2">
      <c r="A170" s="16" t="s">
        <v>15</v>
      </c>
      <c r="B170" s="16" t="s">
        <v>70</v>
      </c>
      <c r="C170" s="15">
        <v>16</v>
      </c>
    </row>
    <row r="171" spans="1:15" hidden="1" x14ac:dyDescent="0.2">
      <c r="A171" s="16" t="s">
        <v>15</v>
      </c>
      <c r="B171" s="16" t="s">
        <v>70</v>
      </c>
      <c r="C171" s="15">
        <v>14</v>
      </c>
    </row>
    <row r="172" spans="1:15" hidden="1" x14ac:dyDescent="0.2">
      <c r="A172" s="16" t="s">
        <v>18</v>
      </c>
      <c r="B172" s="16" t="s">
        <v>70</v>
      </c>
      <c r="C172" s="15">
        <v>15</v>
      </c>
    </row>
    <row r="173" spans="1:15" hidden="1" x14ac:dyDescent="0.2">
      <c r="A173" s="16" t="s">
        <v>18</v>
      </c>
      <c r="B173" s="16" t="s">
        <v>70</v>
      </c>
      <c r="C173" s="15">
        <v>11</v>
      </c>
    </row>
    <row r="174" spans="1:15" hidden="1" x14ac:dyDescent="0.2">
      <c r="A174" s="16" t="s">
        <v>19</v>
      </c>
      <c r="B174" s="16" t="s">
        <v>70</v>
      </c>
      <c r="C174" s="15">
        <v>11</v>
      </c>
    </row>
    <row r="177" spans="1:1" ht="13.15" customHeight="1" x14ac:dyDescent="0.2">
      <c r="A177" t="s">
        <v>436</v>
      </c>
    </row>
    <row r="178" spans="1:1" ht="13.15" customHeight="1" x14ac:dyDescent="0.2">
      <c r="A178" t="s">
        <v>437</v>
      </c>
    </row>
    <row r="179" spans="1:1" ht="13.15" customHeight="1" x14ac:dyDescent="0.2">
      <c r="A179" t="s">
        <v>438</v>
      </c>
    </row>
    <row r="180" spans="1:1" ht="13.15" customHeight="1" x14ac:dyDescent="0.2">
      <c r="A180" t="s">
        <v>426</v>
      </c>
    </row>
    <row r="181" spans="1:1" ht="13.15" customHeight="1" x14ac:dyDescent="0.2">
      <c r="A181" t="s">
        <v>439</v>
      </c>
    </row>
    <row r="182" spans="1:1" x14ac:dyDescent="0.2">
      <c r="A182" t="s">
        <v>440</v>
      </c>
    </row>
    <row r="183" spans="1:1" x14ac:dyDescent="0.2">
      <c r="A183" t="s">
        <v>441</v>
      </c>
    </row>
    <row r="184" spans="1:1" x14ac:dyDescent="0.2">
      <c r="A184" t="s">
        <v>442</v>
      </c>
    </row>
    <row r="185" spans="1:1" x14ac:dyDescent="0.2">
      <c r="A185" t="s">
        <v>443</v>
      </c>
    </row>
    <row r="186" spans="1:1" x14ac:dyDescent="0.2">
      <c r="A186" t="s">
        <v>444</v>
      </c>
    </row>
    <row r="187" spans="1:1" x14ac:dyDescent="0.2">
      <c r="A187" t="s">
        <v>466</v>
      </c>
    </row>
    <row r="188" spans="1:1" x14ac:dyDescent="0.2">
      <c r="A188" t="s">
        <v>467</v>
      </c>
    </row>
    <row r="189" spans="1:1" x14ac:dyDescent="0.2">
      <c r="A189" t="s">
        <v>445</v>
      </c>
    </row>
    <row r="190" spans="1:1" x14ac:dyDescent="0.2">
      <c r="A190" t="s">
        <v>447</v>
      </c>
    </row>
    <row r="191" spans="1:1" x14ac:dyDescent="0.2">
      <c r="A191" t="s">
        <v>446</v>
      </c>
    </row>
    <row r="192" spans="1:1" x14ac:dyDescent="0.2">
      <c r="A192" t="s">
        <v>459</v>
      </c>
    </row>
    <row r="195" spans="1:1" x14ac:dyDescent="0.2">
      <c r="A195" s="5" t="s">
        <v>507</v>
      </c>
    </row>
    <row r="196" spans="1:1" x14ac:dyDescent="0.2">
      <c r="A196" s="139">
        <v>0.25</v>
      </c>
    </row>
    <row r="197" spans="1:1" x14ac:dyDescent="0.2">
      <c r="A197" s="139">
        <v>0.5</v>
      </c>
    </row>
    <row r="198" spans="1:1" x14ac:dyDescent="0.2">
      <c r="A198" s="139">
        <v>0.75</v>
      </c>
    </row>
    <row r="199" spans="1:1" x14ac:dyDescent="0.2">
      <c r="A199" s="139">
        <v>1</v>
      </c>
    </row>
  </sheetData>
  <mergeCells count="65">
    <mergeCell ref="O153:O162"/>
    <mergeCell ref="O103:O112"/>
    <mergeCell ref="O113:O122"/>
    <mergeCell ref="O123:O132"/>
    <mergeCell ref="O133:O142"/>
    <mergeCell ref="O143:O152"/>
    <mergeCell ref="O53:O62"/>
    <mergeCell ref="O63:O72"/>
    <mergeCell ref="O73:O82"/>
    <mergeCell ref="O83:O92"/>
    <mergeCell ref="O93:O102"/>
    <mergeCell ref="O3:O12"/>
    <mergeCell ref="O13:O22"/>
    <mergeCell ref="O23:O32"/>
    <mergeCell ref="O33:O42"/>
    <mergeCell ref="O43:O52"/>
    <mergeCell ref="A3:A12"/>
    <mergeCell ref="A13:A22"/>
    <mergeCell ref="A1:L1"/>
    <mergeCell ref="A23:A32"/>
    <mergeCell ref="A33:A42"/>
    <mergeCell ref="K3:K12"/>
    <mergeCell ref="K13:K22"/>
    <mergeCell ref="K23:K32"/>
    <mergeCell ref="K33:K42"/>
    <mergeCell ref="A43:A52"/>
    <mergeCell ref="A53:A62"/>
    <mergeCell ref="A63:A72"/>
    <mergeCell ref="A73:A82"/>
    <mergeCell ref="A83:A92"/>
    <mergeCell ref="A123:A132"/>
    <mergeCell ref="N53:N62"/>
    <mergeCell ref="N63:N72"/>
    <mergeCell ref="N73:N82"/>
    <mergeCell ref="N83:N92"/>
    <mergeCell ref="N93:N102"/>
    <mergeCell ref="A93:A102"/>
    <mergeCell ref="A103:A112"/>
    <mergeCell ref="A113:A122"/>
    <mergeCell ref="K53:K62"/>
    <mergeCell ref="K63:K72"/>
    <mergeCell ref="K73:K82"/>
    <mergeCell ref="K83:K92"/>
    <mergeCell ref="K93:K102"/>
    <mergeCell ref="K103:K112"/>
    <mergeCell ref="K113:K122"/>
    <mergeCell ref="K123:K132"/>
    <mergeCell ref="K43:K52"/>
    <mergeCell ref="N103:N112"/>
    <mergeCell ref="N113:N122"/>
    <mergeCell ref="N123:N132"/>
    <mergeCell ref="N3:N12"/>
    <mergeCell ref="N13:N22"/>
    <mergeCell ref="N23:N32"/>
    <mergeCell ref="N33:N42"/>
    <mergeCell ref="N43:N52"/>
    <mergeCell ref="N133:N142"/>
    <mergeCell ref="N143:N152"/>
    <mergeCell ref="K153:K162"/>
    <mergeCell ref="N153:N162"/>
    <mergeCell ref="A154:A162"/>
    <mergeCell ref="K133:K142"/>
    <mergeCell ref="K143:K152"/>
    <mergeCell ref="A143:A152"/>
    <mergeCell ref="A133:A142"/>
  </mergeCells>
  <dataValidations count="1">
    <dataValidation type="list" allowBlank="1" showInputMessage="1" showErrorMessage="1" sqref="F3:F162">
      <formula1>$A$196:$A$199</formula1>
    </dataValidation>
  </dataValidation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'Tabla Honorarios 2023'!$A$66:$A$74</xm:f>
          </x14:formula1>
          <xm:sqref>B3:B162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dimension ref="A1:Q75"/>
  <sheetViews>
    <sheetView topLeftCell="B19" zoomScale="115" zoomScaleNormal="115" workbookViewId="0">
      <selection activeCell="L24" sqref="L24"/>
    </sheetView>
  </sheetViews>
  <sheetFormatPr baseColWidth="10" defaultRowHeight="12.75" x14ac:dyDescent="0.2"/>
  <cols>
    <col min="1" max="1" width="41.5703125" customWidth="1"/>
    <col min="2" max="2" width="24.28515625" customWidth="1"/>
    <col min="3" max="3" width="10.28515625" customWidth="1"/>
    <col min="4" max="4" width="29.140625" style="327" customWidth="1"/>
    <col min="5" max="5" width="12.7109375" customWidth="1"/>
    <col min="6" max="6" width="15.42578125" customWidth="1"/>
    <col min="7" max="7" width="14.5703125" customWidth="1"/>
    <col min="8" max="8" width="38.140625" bestFit="1" customWidth="1"/>
    <col min="9" max="9" width="12.85546875" customWidth="1"/>
    <col min="10" max="10" width="11.7109375" customWidth="1"/>
    <col min="11" max="11" width="3.7109375" customWidth="1"/>
    <col min="12" max="12" width="31.7109375" bestFit="1" customWidth="1"/>
    <col min="13" max="13" width="19.42578125" customWidth="1"/>
    <col min="14" max="14" width="30.5703125" customWidth="1"/>
    <col min="15" max="19" width="11.42578125" customWidth="1"/>
    <col min="20" max="20" width="28.85546875" bestFit="1" customWidth="1"/>
    <col min="21" max="21" width="11.42578125" customWidth="1"/>
  </cols>
  <sheetData>
    <row r="1" spans="1:13" x14ac:dyDescent="0.2">
      <c r="A1" s="530" t="s">
        <v>665</v>
      </c>
      <c r="B1" s="531"/>
      <c r="C1" s="531"/>
      <c r="D1" s="531"/>
      <c r="L1" s="8" t="s">
        <v>586</v>
      </c>
    </row>
    <row r="2" spans="1:13" ht="25.5" x14ac:dyDescent="0.2">
      <c r="A2" s="333" t="s">
        <v>64</v>
      </c>
      <c r="B2" s="206" t="s">
        <v>1</v>
      </c>
      <c r="C2" s="205" t="s">
        <v>65</v>
      </c>
      <c r="D2" s="205" t="s">
        <v>700</v>
      </c>
      <c r="E2" s="205" t="s">
        <v>63</v>
      </c>
      <c r="F2" s="207" t="s">
        <v>521</v>
      </c>
      <c r="G2" s="205" t="s">
        <v>673</v>
      </c>
      <c r="L2" s="5" t="s">
        <v>617</v>
      </c>
    </row>
    <row r="3" spans="1:13" x14ac:dyDescent="0.2">
      <c r="A3" s="330" t="s">
        <v>66</v>
      </c>
      <c r="B3" s="18" t="s">
        <v>67</v>
      </c>
      <c r="C3" s="15">
        <v>3</v>
      </c>
      <c r="D3" s="329">
        <v>4802698</v>
      </c>
      <c r="E3" s="19">
        <f t="shared" ref="E3:E19" si="0">D3/30/8</f>
        <v>20011.241666666665</v>
      </c>
      <c r="G3" s="19"/>
      <c r="L3" s="5" t="s">
        <v>712</v>
      </c>
    </row>
    <row r="4" spans="1:13" x14ac:dyDescent="0.2">
      <c r="A4" s="334" t="s">
        <v>668</v>
      </c>
      <c r="B4" s="18" t="s">
        <v>6</v>
      </c>
      <c r="C4" s="141">
        <v>20</v>
      </c>
      <c r="D4" s="329">
        <v>12941445</v>
      </c>
      <c r="E4" s="142">
        <f t="shared" si="0"/>
        <v>53922.6875</v>
      </c>
      <c r="F4" s="143"/>
      <c r="G4" s="142">
        <f>+G52</f>
        <v>17519719.3312</v>
      </c>
      <c r="L4" s="5" t="s">
        <v>713</v>
      </c>
    </row>
    <row r="5" spans="1:13" x14ac:dyDescent="0.2">
      <c r="A5" s="334" t="s">
        <v>669</v>
      </c>
      <c r="B5" s="18" t="s">
        <v>6</v>
      </c>
      <c r="C5" s="141">
        <v>14</v>
      </c>
      <c r="D5" s="329">
        <v>9245042</v>
      </c>
      <c r="E5" s="142">
        <f t="shared" si="0"/>
        <v>38521.008333333331</v>
      </c>
      <c r="F5" s="143"/>
      <c r="G5" s="142">
        <f>+G51</f>
        <v>15707334.572799999</v>
      </c>
      <c r="L5" s="5" t="s">
        <v>666</v>
      </c>
    </row>
    <row r="6" spans="1:13" x14ac:dyDescent="0.2">
      <c r="A6" s="330" t="s">
        <v>663</v>
      </c>
      <c r="B6" s="18" t="s">
        <v>6</v>
      </c>
      <c r="C6" s="141">
        <v>14</v>
      </c>
      <c r="D6" s="329">
        <v>9245042</v>
      </c>
      <c r="E6" s="142">
        <f t="shared" si="0"/>
        <v>38521.008333333331</v>
      </c>
      <c r="F6" s="143"/>
      <c r="G6" s="142">
        <f>+G50</f>
        <v>15707334.572799999</v>
      </c>
      <c r="L6" s="5" t="s">
        <v>714</v>
      </c>
    </row>
    <row r="7" spans="1:13" x14ac:dyDescent="0.2">
      <c r="A7" s="330" t="s">
        <v>10</v>
      </c>
      <c r="B7" s="18" t="s">
        <v>68</v>
      </c>
      <c r="C7" s="141">
        <v>13</v>
      </c>
      <c r="D7" s="329">
        <v>5525378</v>
      </c>
      <c r="E7" s="142">
        <f t="shared" si="0"/>
        <v>23022.408333333333</v>
      </c>
      <c r="F7" s="143" t="s">
        <v>508</v>
      </c>
      <c r="G7" s="142">
        <f>+G43</f>
        <v>10270180.297599999</v>
      </c>
      <c r="H7" s="146"/>
      <c r="I7" s="23"/>
      <c r="K7" s="23"/>
      <c r="L7" s="5" t="s">
        <v>674</v>
      </c>
      <c r="M7" s="220"/>
    </row>
    <row r="8" spans="1:13" x14ac:dyDescent="0.2">
      <c r="A8" s="331" t="s">
        <v>12</v>
      </c>
      <c r="B8" s="18" t="s">
        <v>68</v>
      </c>
      <c r="C8" s="141">
        <v>11</v>
      </c>
      <c r="D8" s="329">
        <v>4806804</v>
      </c>
      <c r="E8" s="142">
        <f t="shared" si="0"/>
        <v>20028.349999999999</v>
      </c>
      <c r="F8" s="143" t="s">
        <v>509</v>
      </c>
      <c r="G8" s="142">
        <f>+G36</f>
        <v>7551603.1599999992</v>
      </c>
      <c r="H8" s="146"/>
      <c r="I8" s="23"/>
      <c r="K8" s="23"/>
      <c r="L8" s="5" t="s">
        <v>716</v>
      </c>
      <c r="M8" s="220"/>
    </row>
    <row r="9" spans="1:13" x14ac:dyDescent="0.2">
      <c r="A9" s="331" t="s">
        <v>12</v>
      </c>
      <c r="B9" s="18" t="s">
        <v>68</v>
      </c>
      <c r="C9" s="141">
        <v>8</v>
      </c>
      <c r="D9" s="329">
        <v>4276330</v>
      </c>
      <c r="E9" s="142">
        <f t="shared" si="0"/>
        <v>17818.041666666668</v>
      </c>
      <c r="F9" s="143" t="s">
        <v>510</v>
      </c>
      <c r="G9" s="142">
        <f>+G33</f>
        <v>6645410.7807999998</v>
      </c>
      <c r="H9" s="146"/>
      <c r="I9" s="23"/>
      <c r="K9" s="23"/>
      <c r="L9" s="5" t="s">
        <v>708</v>
      </c>
      <c r="M9" s="220"/>
    </row>
    <row r="10" spans="1:13" x14ac:dyDescent="0.2">
      <c r="A10" s="331" t="s">
        <v>12</v>
      </c>
      <c r="B10" s="18" t="s">
        <v>68</v>
      </c>
      <c r="C10" s="141">
        <v>1</v>
      </c>
      <c r="D10" s="329">
        <v>2915041</v>
      </c>
      <c r="E10" s="142">
        <f t="shared" si="0"/>
        <v>12146.004166666668</v>
      </c>
      <c r="F10" s="143"/>
      <c r="G10" s="142">
        <f>+G32</f>
        <v>6282933.8291199999</v>
      </c>
      <c r="H10" s="146"/>
      <c r="K10" s="23"/>
      <c r="L10" s="5" t="s">
        <v>706</v>
      </c>
      <c r="M10" s="220"/>
    </row>
    <row r="11" spans="1:13" x14ac:dyDescent="0.2">
      <c r="A11" s="331" t="s">
        <v>13</v>
      </c>
      <c r="B11" s="18" t="s">
        <v>69</v>
      </c>
      <c r="C11" s="141">
        <v>16</v>
      </c>
      <c r="D11" s="329">
        <v>3804925</v>
      </c>
      <c r="E11" s="142">
        <f t="shared" si="0"/>
        <v>15853.854166666666</v>
      </c>
      <c r="F11" s="143" t="s">
        <v>511</v>
      </c>
      <c r="G11" s="142">
        <f>+G31</f>
        <v>5200336.0001024008</v>
      </c>
      <c r="H11" s="146"/>
      <c r="I11" s="23"/>
      <c r="K11" s="23"/>
      <c r="L11" s="5" t="s">
        <v>715</v>
      </c>
      <c r="M11" s="220"/>
    </row>
    <row r="12" spans="1:13" x14ac:dyDescent="0.2">
      <c r="A12" s="331" t="s">
        <v>13</v>
      </c>
      <c r="B12" s="18" t="s">
        <v>69</v>
      </c>
      <c r="C12" s="141">
        <v>14</v>
      </c>
      <c r="D12" s="329">
        <v>3222201</v>
      </c>
      <c r="E12" s="142">
        <f t="shared" si="0"/>
        <v>13425.8375</v>
      </c>
      <c r="F12" s="143" t="s">
        <v>511</v>
      </c>
      <c r="G12" s="142">
        <f>+G30</f>
        <v>4743615.0409856001</v>
      </c>
      <c r="H12" s="146"/>
      <c r="I12" s="23"/>
      <c r="K12" s="23"/>
      <c r="L12" s="5" t="s">
        <v>717</v>
      </c>
      <c r="M12" s="220"/>
    </row>
    <row r="13" spans="1:13" x14ac:dyDescent="0.2">
      <c r="A13" s="331" t="s">
        <v>13</v>
      </c>
      <c r="B13" s="18" t="s">
        <v>69</v>
      </c>
      <c r="C13" s="141">
        <v>13</v>
      </c>
      <c r="D13" s="329">
        <v>3108654</v>
      </c>
      <c r="E13" s="142">
        <f t="shared" si="0"/>
        <v>12952.725</v>
      </c>
      <c r="F13" s="143"/>
      <c r="G13" s="142"/>
      <c r="L13" s="5" t="s">
        <v>718</v>
      </c>
      <c r="M13" s="220"/>
    </row>
    <row r="14" spans="1:13" x14ac:dyDescent="0.2">
      <c r="A14" s="331" t="s">
        <v>15</v>
      </c>
      <c r="B14" s="18" t="s">
        <v>70</v>
      </c>
      <c r="C14" s="141">
        <v>18</v>
      </c>
      <c r="D14" s="329">
        <v>2607573</v>
      </c>
      <c r="E14" s="142">
        <f t="shared" si="0"/>
        <v>10864.887500000001</v>
      </c>
      <c r="F14" s="143">
        <v>15</v>
      </c>
      <c r="G14" s="142"/>
      <c r="I14" s="23"/>
      <c r="L14" s="5" t="s">
        <v>719</v>
      </c>
      <c r="M14" s="220"/>
    </row>
    <row r="15" spans="1:13" x14ac:dyDescent="0.2">
      <c r="A15" s="331" t="s">
        <v>15</v>
      </c>
      <c r="B15" s="16" t="s">
        <v>70</v>
      </c>
      <c r="C15" s="141">
        <v>16</v>
      </c>
      <c r="D15" s="329">
        <v>2491836</v>
      </c>
      <c r="E15" s="142">
        <f t="shared" si="0"/>
        <v>10382.65</v>
      </c>
      <c r="F15" s="143">
        <v>5</v>
      </c>
      <c r="G15" s="142"/>
      <c r="I15" s="23"/>
      <c r="L15" s="5" t="s">
        <v>720</v>
      </c>
      <c r="M15" s="220"/>
    </row>
    <row r="16" spans="1:13" x14ac:dyDescent="0.2">
      <c r="A16" s="331" t="s">
        <v>15</v>
      </c>
      <c r="B16" s="16" t="s">
        <v>70</v>
      </c>
      <c r="C16" s="141">
        <v>14</v>
      </c>
      <c r="D16" s="329">
        <v>2313840</v>
      </c>
      <c r="E16" s="142">
        <f t="shared" si="0"/>
        <v>9641</v>
      </c>
      <c r="F16" s="143"/>
      <c r="G16" s="142"/>
      <c r="I16" s="23"/>
      <c r="L16" s="5" t="s">
        <v>721</v>
      </c>
      <c r="M16" s="220"/>
    </row>
    <row r="17" spans="1:17" s="143" customFormat="1" x14ac:dyDescent="0.2">
      <c r="A17" s="332" t="s">
        <v>18</v>
      </c>
      <c r="B17" s="140" t="s">
        <v>70</v>
      </c>
      <c r="C17" s="141">
        <v>15</v>
      </c>
      <c r="D17" s="329">
        <v>2385758</v>
      </c>
      <c r="E17" s="142">
        <f t="shared" si="0"/>
        <v>9940.6583333333328</v>
      </c>
      <c r="G17" s="142">
        <f>+G27</f>
        <v>3025474.2900223997</v>
      </c>
      <c r="I17" s="23"/>
      <c r="L17" s="5" t="s">
        <v>722</v>
      </c>
      <c r="M17" s="220"/>
    </row>
    <row r="18" spans="1:17" x14ac:dyDescent="0.2">
      <c r="A18" s="331" t="s">
        <v>18</v>
      </c>
      <c r="B18" s="16" t="s">
        <v>70</v>
      </c>
      <c r="C18" s="141">
        <v>11</v>
      </c>
      <c r="D18" s="329">
        <v>2042712</v>
      </c>
      <c r="E18" s="142">
        <f t="shared" si="0"/>
        <v>8511.2999999999993</v>
      </c>
      <c r="F18" s="143"/>
      <c r="G18" s="142"/>
      <c r="L18" s="5" t="s">
        <v>723</v>
      </c>
      <c r="M18" s="220"/>
    </row>
    <row r="19" spans="1:17" x14ac:dyDescent="0.2">
      <c r="A19" s="331" t="s">
        <v>19</v>
      </c>
      <c r="B19" s="16" t="s">
        <v>70</v>
      </c>
      <c r="C19" s="141">
        <v>11</v>
      </c>
      <c r="D19" s="329">
        <v>2042712</v>
      </c>
      <c r="E19" s="142">
        <f t="shared" si="0"/>
        <v>8511.2999999999993</v>
      </c>
      <c r="F19" s="143"/>
      <c r="G19" s="142"/>
      <c r="L19" s="5" t="s">
        <v>701</v>
      </c>
    </row>
    <row r="20" spans="1:17" x14ac:dyDescent="0.2">
      <c r="A20" s="366"/>
      <c r="B20" s="366"/>
      <c r="C20" s="367"/>
      <c r="D20" s="368"/>
      <c r="E20" s="369"/>
      <c r="F20" s="143"/>
      <c r="G20" s="369"/>
      <c r="L20" s="5" t="s">
        <v>707</v>
      </c>
    </row>
    <row r="21" spans="1:17" x14ac:dyDescent="0.2">
      <c r="B21" s="17"/>
      <c r="L21" s="5" t="s">
        <v>667</v>
      </c>
    </row>
    <row r="22" spans="1:17" x14ac:dyDescent="0.2">
      <c r="B22" s="17"/>
      <c r="L22" s="5" t="s">
        <v>724</v>
      </c>
    </row>
    <row r="23" spans="1:17" x14ac:dyDescent="0.2">
      <c r="B23" s="17"/>
      <c r="L23" s="5" t="s">
        <v>725</v>
      </c>
    </row>
    <row r="24" spans="1:17" x14ac:dyDescent="0.2">
      <c r="B24" s="17"/>
    </row>
    <row r="25" spans="1:17" x14ac:dyDescent="0.2">
      <c r="B25" s="17"/>
      <c r="N25" s="5"/>
    </row>
    <row r="26" spans="1:17" ht="51" x14ac:dyDescent="0.2">
      <c r="A26" s="14" t="s">
        <v>64</v>
      </c>
      <c r="B26" s="138" t="s">
        <v>475</v>
      </c>
      <c r="C26" s="138" t="s">
        <v>476</v>
      </c>
      <c r="D26" s="113" t="s">
        <v>476</v>
      </c>
      <c r="E26" s="12" t="s">
        <v>477</v>
      </c>
      <c r="F26" s="12" t="s">
        <v>671</v>
      </c>
      <c r="G26" s="12" t="s">
        <v>727</v>
      </c>
      <c r="H26" s="12" t="s">
        <v>506</v>
      </c>
      <c r="I26" s="12" t="s">
        <v>576</v>
      </c>
      <c r="N26" s="5"/>
    </row>
    <row r="27" spans="1:17" ht="21" customHeight="1" x14ac:dyDescent="0.2">
      <c r="A27" s="341" t="str">
        <f>CONCATENATE(A17," ", "GRADO"," ",C17)</f>
        <v>OPERARIOS CALIFICADOS GRADO 15</v>
      </c>
      <c r="B27" s="342">
        <v>1</v>
      </c>
      <c r="C27" s="342" t="s">
        <v>478</v>
      </c>
      <c r="D27" s="343" t="s">
        <v>479</v>
      </c>
      <c r="E27" s="342" t="s">
        <v>500</v>
      </c>
      <c r="F27" s="344">
        <v>2504000</v>
      </c>
      <c r="G27" s="345">
        <f>F27*(1+bdMacroeconomicos!$B$17)*(1+bdMacroeconomicos!$B$18)*(1+bdMacroeconomicos!$B$19)</f>
        <v>3025474.2900223997</v>
      </c>
      <c r="H27" s="346" t="str">
        <f>+A17</f>
        <v>OPERARIOS CALIFICADOS</v>
      </c>
      <c r="I27" s="346">
        <v>15</v>
      </c>
      <c r="N27" s="5"/>
    </row>
    <row r="28" spans="1:17" ht="25.5" x14ac:dyDescent="0.2">
      <c r="A28" s="1"/>
      <c r="B28" s="1">
        <f>B27+1</f>
        <v>2</v>
      </c>
      <c r="C28" s="1" t="s">
        <v>480</v>
      </c>
      <c r="D28" s="335" t="s">
        <v>481</v>
      </c>
      <c r="E28" s="336" t="s">
        <v>501</v>
      </c>
      <c r="F28" s="337">
        <v>3826000</v>
      </c>
      <c r="G28" s="338">
        <f>F28*(1+bdMacroeconomicos!$B$17)*(1+bdMacroeconomicos!$B$18)*(1+bdMacroeconomicos!$B$19)</f>
        <v>4622789.3904255992</v>
      </c>
      <c r="H28" s="339"/>
      <c r="I28" s="339"/>
      <c r="L28" s="532" t="s">
        <v>0</v>
      </c>
      <c r="M28" s="227"/>
      <c r="N28" s="534" t="s">
        <v>597</v>
      </c>
      <c r="O28" s="536" t="s">
        <v>598</v>
      </c>
      <c r="P28" s="538" t="s">
        <v>599</v>
      </c>
      <c r="Q28" s="539"/>
    </row>
    <row r="29" spans="1:17" ht="36" x14ac:dyDescent="0.2">
      <c r="A29" s="1"/>
      <c r="B29" s="1">
        <f t="shared" ref="B29:B32" si="1">B28+1</f>
        <v>3</v>
      </c>
      <c r="C29" s="1" t="s">
        <v>480</v>
      </c>
      <c r="D29" s="335" t="s">
        <v>481</v>
      </c>
      <c r="E29" s="336" t="s">
        <v>500</v>
      </c>
      <c r="F29" s="337">
        <v>4204000</v>
      </c>
      <c r="G29" s="338">
        <f>F29*(1+bdMacroeconomicos!$B$17)*(1+bdMacroeconomicos!$B$18)*(1+bdMacroeconomicos!$B$19)</f>
        <v>5079510.3495423999</v>
      </c>
      <c r="H29" s="339"/>
      <c r="I29" s="339"/>
      <c r="L29" s="533"/>
      <c r="M29" s="228" t="s">
        <v>600</v>
      </c>
      <c r="N29" s="535"/>
      <c r="O29" s="537"/>
      <c r="P29" s="229" t="s">
        <v>601</v>
      </c>
      <c r="Q29" s="229" t="s">
        <v>602</v>
      </c>
    </row>
    <row r="30" spans="1:17" x14ac:dyDescent="0.2">
      <c r="A30" s="341" t="str">
        <f>CONCATENATE(A12," ", "GRADO"," ",C12)</f>
        <v>TECNICO ADMINISTRATIVO GRADO 14</v>
      </c>
      <c r="B30" s="342">
        <f t="shared" si="1"/>
        <v>4</v>
      </c>
      <c r="C30" s="342" t="s">
        <v>483</v>
      </c>
      <c r="D30" s="343" t="s">
        <v>482</v>
      </c>
      <c r="E30" s="342" t="s">
        <v>501</v>
      </c>
      <c r="F30" s="344">
        <v>3926000</v>
      </c>
      <c r="G30" s="345">
        <f>F30*(1+bdMacroeconomicos!$B$17)*(1+bdMacroeconomicos!$B$18)*(1+bdMacroeconomicos!$B$19)</f>
        <v>4743615.0409856001</v>
      </c>
      <c r="H30" s="346" t="str">
        <f>+A13</f>
        <v>TECNICO ADMINISTRATIVO</v>
      </c>
      <c r="I30" s="346">
        <v>14</v>
      </c>
      <c r="L30" s="230" t="s">
        <v>5</v>
      </c>
      <c r="M30" s="231" t="s">
        <v>603</v>
      </c>
      <c r="N30" s="230">
        <v>20</v>
      </c>
      <c r="O30" s="232">
        <v>1</v>
      </c>
      <c r="P30" s="233">
        <v>8554717.5999999996</v>
      </c>
      <c r="Q30" s="233"/>
    </row>
    <row r="31" spans="1:17" x14ac:dyDescent="0.2">
      <c r="A31" s="341" t="str">
        <f>CONCATENATE(A11," ", "GRADO"," ",C11)</f>
        <v>TECNICO ADMINISTRATIVO GRADO 16</v>
      </c>
      <c r="B31" s="342">
        <f t="shared" si="1"/>
        <v>5</v>
      </c>
      <c r="C31" s="342" t="s">
        <v>483</v>
      </c>
      <c r="D31" s="343" t="s">
        <v>482</v>
      </c>
      <c r="E31" s="342" t="s">
        <v>672</v>
      </c>
      <c r="F31" s="344">
        <v>4304000</v>
      </c>
      <c r="G31" s="345">
        <f>F31*(1+bdMacroeconomicos!$B$17)*(1+bdMacroeconomicos!$B$18)*(1+bdMacroeconomicos!$B$19)</f>
        <v>5200336.0001024008</v>
      </c>
      <c r="H31" s="346" t="str">
        <f>+A11</f>
        <v>TECNICO ADMINISTRATIVO</v>
      </c>
      <c r="I31" s="346">
        <v>16</v>
      </c>
      <c r="L31" s="230" t="s">
        <v>7</v>
      </c>
      <c r="M31" s="231" t="s">
        <v>603</v>
      </c>
      <c r="N31" s="230">
        <v>14</v>
      </c>
      <c r="O31" s="232">
        <v>4</v>
      </c>
      <c r="P31" s="233">
        <v>6111274</v>
      </c>
      <c r="Q31" s="234"/>
    </row>
    <row r="32" spans="1:17" x14ac:dyDescent="0.2">
      <c r="A32" s="341" t="str">
        <f>CONCATENATE(A10," ", "GRADO"," ",C10)</f>
        <v>PROFESIONAL UNIVERSITARIO GRADO 1</v>
      </c>
      <c r="B32" s="342">
        <f t="shared" si="1"/>
        <v>6</v>
      </c>
      <c r="C32" s="342" t="s">
        <v>484</v>
      </c>
      <c r="D32" s="343" t="s">
        <v>485</v>
      </c>
      <c r="E32" s="342">
        <v>0</v>
      </c>
      <c r="F32" s="344">
        <v>5200000</v>
      </c>
      <c r="G32" s="345">
        <f>F32*(1+bdMacroeconomicos!$B$17)*(1+bdMacroeconomicos!$B$18)*(1+bdMacroeconomicos!$B$19)</f>
        <v>6282933.8291199999</v>
      </c>
      <c r="H32" s="342" t="str">
        <f>+A10</f>
        <v>PROFESIONAL UNIVERSITARIO</v>
      </c>
      <c r="I32" s="342">
        <v>1</v>
      </c>
      <c r="L32" s="235" t="s">
        <v>8</v>
      </c>
      <c r="M32" s="231" t="s">
        <v>604</v>
      </c>
      <c r="N32" s="230">
        <v>10</v>
      </c>
      <c r="O32" s="232">
        <v>1</v>
      </c>
      <c r="P32" s="233">
        <v>5305948.8767999997</v>
      </c>
      <c r="Q32" s="234"/>
    </row>
    <row r="33" spans="1:17" x14ac:dyDescent="0.2">
      <c r="A33" s="341" t="str">
        <f>CONCATENATE(A9," ", "GRADO"," ",C9)</f>
        <v>PROFESIONAL UNIVERSITARIO GRADO 8</v>
      </c>
      <c r="B33" s="342">
        <f>B32+1</f>
        <v>7</v>
      </c>
      <c r="C33" s="342" t="s">
        <v>484</v>
      </c>
      <c r="D33" s="343" t="s">
        <v>485</v>
      </c>
      <c r="E33" s="342">
        <v>6</v>
      </c>
      <c r="F33" s="347">
        <v>5500000</v>
      </c>
      <c r="G33" s="345">
        <f>F33*(1+bdMacroeconomicos!$B$17)*(1+bdMacroeconomicos!$B$18)*(1+bdMacroeconomicos!$B$19)</f>
        <v>6645410.7807999998</v>
      </c>
      <c r="H33" s="342" t="str">
        <f>+A9</f>
        <v>PROFESIONAL UNIVERSITARIO</v>
      </c>
      <c r="I33" s="342">
        <v>8</v>
      </c>
      <c r="L33" s="235" t="s">
        <v>9</v>
      </c>
      <c r="M33" s="231" t="s">
        <v>604</v>
      </c>
      <c r="N33" s="230">
        <v>6</v>
      </c>
      <c r="O33" s="232">
        <v>1</v>
      </c>
      <c r="P33" s="233">
        <v>4978519.5200000005</v>
      </c>
      <c r="Q33" s="234"/>
    </row>
    <row r="34" spans="1:17" x14ac:dyDescent="0.2">
      <c r="A34" s="1"/>
      <c r="B34" s="1">
        <f t="shared" ref="B34:B53" si="2">B33+1</f>
        <v>8</v>
      </c>
      <c r="C34" s="1" t="s">
        <v>484</v>
      </c>
      <c r="D34" s="335" t="s">
        <v>485</v>
      </c>
      <c r="E34" s="336">
        <v>12</v>
      </c>
      <c r="F34" s="340">
        <v>5500000</v>
      </c>
      <c r="G34" s="338">
        <f>F34*(1+bdMacroeconomicos!$B$17)*(1+bdMacroeconomicos!$B$18)*(1+bdMacroeconomicos!$B$19)</f>
        <v>6645410.7807999998</v>
      </c>
      <c r="H34" s="336"/>
      <c r="I34" s="336"/>
      <c r="L34" s="235" t="s">
        <v>10</v>
      </c>
      <c r="M34" s="231" t="s">
        <v>68</v>
      </c>
      <c r="N34" s="230">
        <v>13</v>
      </c>
      <c r="O34" s="232">
        <v>12</v>
      </c>
      <c r="P34" s="241">
        <v>3652452.96</v>
      </c>
      <c r="Q34" s="234"/>
    </row>
    <row r="35" spans="1:17" x14ac:dyDescent="0.2">
      <c r="A35" s="1"/>
      <c r="B35" s="1">
        <f t="shared" si="2"/>
        <v>9</v>
      </c>
      <c r="C35" s="1" t="s">
        <v>484</v>
      </c>
      <c r="D35" s="335" t="s">
        <v>485</v>
      </c>
      <c r="E35" s="336">
        <v>24</v>
      </c>
      <c r="F35" s="340">
        <v>5800000</v>
      </c>
      <c r="G35" s="338">
        <f>F35*(1+bdMacroeconomicos!$B$17)*(1+bdMacroeconomicos!$B$18)*(1+bdMacroeconomicos!$B$19)</f>
        <v>7007887.7324799998</v>
      </c>
      <c r="H35" s="339"/>
      <c r="I35" s="339"/>
      <c r="L35" s="235" t="s">
        <v>12</v>
      </c>
      <c r="M35" s="231" t="s">
        <v>68</v>
      </c>
      <c r="N35" s="230">
        <v>11</v>
      </c>
      <c r="O35" s="232">
        <v>19</v>
      </c>
      <c r="P35" s="241">
        <v>3177452.72</v>
      </c>
      <c r="Q35" s="234"/>
    </row>
    <row r="36" spans="1:17" x14ac:dyDescent="0.2">
      <c r="A36" s="341" t="str">
        <f>CONCATENATE(A8," ", "GRADO"," ",C8)</f>
        <v>PROFESIONAL UNIVERSITARIO GRADO 11</v>
      </c>
      <c r="B36" s="342">
        <f t="shared" si="2"/>
        <v>10</v>
      </c>
      <c r="C36" s="342" t="s">
        <v>484</v>
      </c>
      <c r="D36" s="343" t="s">
        <v>485</v>
      </c>
      <c r="E36" s="342">
        <v>36</v>
      </c>
      <c r="F36" s="347">
        <v>6250000</v>
      </c>
      <c r="G36" s="345">
        <f>F36*(1+bdMacroeconomicos!$B$17)*(1+bdMacroeconomicos!$B$18)*(1+bdMacroeconomicos!$B$19)</f>
        <v>7551603.1599999992</v>
      </c>
      <c r="H36" s="346" t="str">
        <f>+A8</f>
        <v>PROFESIONAL UNIVERSITARIO</v>
      </c>
      <c r="I36" s="346">
        <v>11</v>
      </c>
      <c r="L36" s="235" t="s">
        <v>12</v>
      </c>
      <c r="M36" s="231" t="s">
        <v>68</v>
      </c>
      <c r="N36" s="230">
        <v>8</v>
      </c>
      <c r="O36" s="232">
        <v>1</v>
      </c>
      <c r="P36" s="233">
        <v>2826791.7600000002</v>
      </c>
      <c r="Q36" s="234"/>
    </row>
    <row r="37" spans="1:17" x14ac:dyDescent="0.2">
      <c r="A37" s="1"/>
      <c r="B37" s="1">
        <f t="shared" si="2"/>
        <v>11</v>
      </c>
      <c r="C37" s="1" t="s">
        <v>484</v>
      </c>
      <c r="D37" s="335" t="s">
        <v>485</v>
      </c>
      <c r="E37" s="336">
        <v>48</v>
      </c>
      <c r="F37" s="340">
        <v>6250000</v>
      </c>
      <c r="G37" s="338">
        <f>F37*(1+bdMacroeconomicos!$B$17)*(1+bdMacroeconomicos!$B$18)*(1+bdMacroeconomicos!$B$19)</f>
        <v>7551603.1599999992</v>
      </c>
      <c r="H37" s="336"/>
      <c r="I37" s="336"/>
      <c r="L37" s="235" t="s">
        <v>13</v>
      </c>
      <c r="M37" s="231" t="s">
        <v>69</v>
      </c>
      <c r="N37" s="230">
        <v>16</v>
      </c>
      <c r="O37" s="232">
        <v>15</v>
      </c>
      <c r="P37" s="233">
        <v>2515176.8928</v>
      </c>
      <c r="Q37" s="234"/>
    </row>
    <row r="38" spans="1:17" x14ac:dyDescent="0.2">
      <c r="A38" s="16" t="str">
        <f>CONCATENATE(A8," ", "GRADO"," ",C8)</f>
        <v>PROFESIONAL UNIVERSITARIO GRADO 11</v>
      </c>
      <c r="B38" s="1">
        <f t="shared" si="2"/>
        <v>12</v>
      </c>
      <c r="C38" s="1" t="s">
        <v>484</v>
      </c>
      <c r="D38" s="335" t="s">
        <v>485</v>
      </c>
      <c r="E38" s="336">
        <v>60</v>
      </c>
      <c r="F38" s="340">
        <v>7000000</v>
      </c>
      <c r="G38" s="338">
        <f>F38*(1+bdMacroeconomicos!$B$17)*(1+bdMacroeconomicos!$B$18)*(1+bdMacroeconomicos!$B$19)</f>
        <v>8457795.5392000005</v>
      </c>
      <c r="H38" s="339"/>
      <c r="I38" s="339"/>
      <c r="L38" s="235" t="s">
        <v>13</v>
      </c>
      <c r="M38" s="231" t="s">
        <v>69</v>
      </c>
      <c r="N38" s="230">
        <v>14</v>
      </c>
      <c r="O38" s="232">
        <v>3</v>
      </c>
      <c r="P38" s="233">
        <v>2129976.16</v>
      </c>
      <c r="Q38" s="234"/>
    </row>
    <row r="39" spans="1:17" x14ac:dyDescent="0.2">
      <c r="A39" s="1"/>
      <c r="B39" s="1">
        <f t="shared" si="2"/>
        <v>13</v>
      </c>
      <c r="C39" s="1" t="s">
        <v>484</v>
      </c>
      <c r="D39" s="335" t="s">
        <v>485</v>
      </c>
      <c r="E39" s="336">
        <v>60</v>
      </c>
      <c r="F39" s="340">
        <v>7000000</v>
      </c>
      <c r="G39" s="338">
        <f>F39*(1+bdMacroeconomicos!$B$17)*(1+bdMacroeconomicos!$B$18)*(1+bdMacroeconomicos!$B$19)</f>
        <v>8457795.5392000005</v>
      </c>
      <c r="H39" s="336"/>
      <c r="I39" s="336"/>
      <c r="L39" s="235" t="s">
        <v>15</v>
      </c>
      <c r="M39" s="231" t="s">
        <v>70</v>
      </c>
      <c r="N39" s="230">
        <v>18</v>
      </c>
      <c r="O39" s="232">
        <v>2</v>
      </c>
      <c r="P39" s="233">
        <v>1723689.7963999999</v>
      </c>
      <c r="Q39" s="234"/>
    </row>
    <row r="40" spans="1:17" x14ac:dyDescent="0.2">
      <c r="A40" s="1"/>
      <c r="B40" s="1">
        <f t="shared" si="2"/>
        <v>14</v>
      </c>
      <c r="C40" s="1" t="s">
        <v>503</v>
      </c>
      <c r="D40" s="335" t="s">
        <v>485</v>
      </c>
      <c r="E40" s="336">
        <v>60</v>
      </c>
      <c r="F40" s="337">
        <v>7000000</v>
      </c>
      <c r="G40" s="338">
        <f>F40*(1+bdMacroeconomicos!$B$17)*(1+bdMacroeconomicos!$B$18)*(1+bdMacroeconomicos!$B$19)</f>
        <v>8457795.5392000005</v>
      </c>
      <c r="H40" s="336"/>
      <c r="I40" s="336"/>
      <c r="L40" s="235" t="s">
        <v>15</v>
      </c>
      <c r="M40" s="231" t="s">
        <v>70</v>
      </c>
      <c r="N40" s="230">
        <v>16</v>
      </c>
      <c r="O40" s="232">
        <v>3</v>
      </c>
      <c r="P40" s="233">
        <v>1647181.12</v>
      </c>
      <c r="Q40" s="234"/>
    </row>
    <row r="41" spans="1:17" x14ac:dyDescent="0.2">
      <c r="A41" s="1"/>
      <c r="B41" s="1">
        <f t="shared" si="2"/>
        <v>15</v>
      </c>
      <c r="C41" s="1" t="s">
        <v>503</v>
      </c>
      <c r="D41" s="335" t="s">
        <v>485</v>
      </c>
      <c r="E41" s="336">
        <f>E40+6</f>
        <v>66</v>
      </c>
      <c r="F41" s="337">
        <v>5500000</v>
      </c>
      <c r="G41" s="338">
        <f>F41*(1+bdMacroeconomicos!$B$17)*(1+bdMacroeconomicos!$B$18)*(1+bdMacroeconomicos!$B$19)</f>
        <v>6645410.7807999998</v>
      </c>
      <c r="H41" s="339"/>
      <c r="I41" s="339"/>
      <c r="L41" s="235" t="s">
        <v>15</v>
      </c>
      <c r="M41" s="231" t="s">
        <v>70</v>
      </c>
      <c r="N41" s="230">
        <v>14</v>
      </c>
      <c r="O41" s="232">
        <v>3</v>
      </c>
      <c r="P41" s="233">
        <v>1529521.0216000001</v>
      </c>
      <c r="Q41" s="234"/>
    </row>
    <row r="42" spans="1:17" x14ac:dyDescent="0.2">
      <c r="A42" s="1"/>
      <c r="B42" s="1">
        <f t="shared" si="2"/>
        <v>16</v>
      </c>
      <c r="C42" s="1" t="s">
        <v>503</v>
      </c>
      <c r="D42" s="335" t="s">
        <v>485</v>
      </c>
      <c r="E42" s="336">
        <f t="shared" ref="E42:E45" si="3">E41+6</f>
        <v>72</v>
      </c>
      <c r="F42" s="337">
        <v>5800000</v>
      </c>
      <c r="G42" s="338">
        <f>F42*(1+bdMacroeconomicos!$B$17)*(1+bdMacroeconomicos!$B$18)*(1+bdMacroeconomicos!$B$19)</f>
        <v>7007887.7324799998</v>
      </c>
      <c r="H42" s="336"/>
      <c r="I42" s="336"/>
      <c r="L42" s="235" t="s">
        <v>18</v>
      </c>
      <c r="M42" s="231" t="s">
        <v>70</v>
      </c>
      <c r="N42" s="230">
        <v>15</v>
      </c>
      <c r="O42" s="232">
        <v>7</v>
      </c>
      <c r="P42" s="233">
        <v>1577061.2</v>
      </c>
      <c r="Q42" s="234"/>
    </row>
    <row r="43" spans="1:17" x14ac:dyDescent="0.2">
      <c r="A43" s="341" t="str">
        <f>CONCATENATE(A7," ", "GRADO"," ",C7)</f>
        <v>PROFESIONAL ESPECIALIZADO GRADO 13</v>
      </c>
      <c r="B43" s="342">
        <f t="shared" si="2"/>
        <v>17</v>
      </c>
      <c r="C43" s="342" t="s">
        <v>503</v>
      </c>
      <c r="D43" s="343" t="s">
        <v>485</v>
      </c>
      <c r="E43" s="342">
        <f t="shared" si="3"/>
        <v>78</v>
      </c>
      <c r="F43" s="344">
        <v>8500000</v>
      </c>
      <c r="G43" s="345">
        <f>F43*(1+bdMacroeconomicos!$B$17)*(1+bdMacroeconomicos!$B$18)*(1+bdMacroeconomicos!$B$19)</f>
        <v>10270180.297599999</v>
      </c>
      <c r="H43" s="342" t="str">
        <f>+A7</f>
        <v>PROFESIONAL ESPECIALIZADO</v>
      </c>
      <c r="I43" s="342">
        <v>13</v>
      </c>
      <c r="L43" s="235" t="s">
        <v>18</v>
      </c>
      <c r="M43" s="231" t="s">
        <v>70</v>
      </c>
      <c r="N43" s="230">
        <v>11</v>
      </c>
      <c r="O43" s="232">
        <v>4</v>
      </c>
      <c r="P43" s="233">
        <v>1350295.7468000001</v>
      </c>
      <c r="Q43" s="234"/>
    </row>
    <row r="44" spans="1:17" x14ac:dyDescent="0.2">
      <c r="A44" s="1"/>
      <c r="B44" s="1">
        <f t="shared" si="2"/>
        <v>18</v>
      </c>
      <c r="C44" s="1" t="s">
        <v>503</v>
      </c>
      <c r="D44" s="335" t="s">
        <v>485</v>
      </c>
      <c r="E44" s="336">
        <f t="shared" si="3"/>
        <v>84</v>
      </c>
      <c r="F44" s="337">
        <v>7000000</v>
      </c>
      <c r="G44" s="338">
        <f>F44*(1+bdMacroeconomicos!$B$17)*(1+bdMacroeconomicos!$B$18)*(1+bdMacroeconomicos!$B$19)</f>
        <v>8457795.5392000005</v>
      </c>
      <c r="H44" s="336"/>
      <c r="I44" s="336"/>
      <c r="L44" s="235" t="s">
        <v>19</v>
      </c>
      <c r="M44" s="231" t="s">
        <v>70</v>
      </c>
      <c r="N44" s="230">
        <v>11</v>
      </c>
      <c r="O44" s="232">
        <v>1</v>
      </c>
      <c r="P44" s="233">
        <v>1350295.44</v>
      </c>
      <c r="Q44" s="234"/>
    </row>
    <row r="45" spans="1:17" x14ac:dyDescent="0.2">
      <c r="A45" s="1"/>
      <c r="B45" s="1">
        <f t="shared" si="2"/>
        <v>19</v>
      </c>
      <c r="C45" s="1" t="s">
        <v>503</v>
      </c>
      <c r="D45" s="335" t="s">
        <v>485</v>
      </c>
      <c r="E45" s="336">
        <f t="shared" si="3"/>
        <v>90</v>
      </c>
      <c r="F45" s="337">
        <v>7750000</v>
      </c>
      <c r="G45" s="338">
        <f>F45*(1+bdMacroeconomicos!$B$17)*(1+bdMacroeconomicos!$B$18)*(1+bdMacroeconomicos!$B$19)</f>
        <v>9363987.9183999989</v>
      </c>
      <c r="H45" s="336"/>
      <c r="I45" s="336"/>
      <c r="L45" s="236" t="s">
        <v>605</v>
      </c>
      <c r="M45" s="237"/>
      <c r="N45" s="238"/>
      <c r="O45" s="239"/>
      <c r="P45" s="240">
        <f>SUM(P30:P44)</f>
        <v>48430354.814400002</v>
      </c>
      <c r="Q45" s="240">
        <f t="shared" ref="Q45" si="4">SUM(Q30:Q44)</f>
        <v>0</v>
      </c>
    </row>
    <row r="46" spans="1:17" x14ac:dyDescent="0.2">
      <c r="A46" s="1"/>
      <c r="B46" s="1">
        <f t="shared" si="2"/>
        <v>20</v>
      </c>
      <c r="C46" s="1" t="s">
        <v>503</v>
      </c>
      <c r="D46" s="335" t="s">
        <v>485</v>
      </c>
      <c r="E46" s="336">
        <v>48</v>
      </c>
      <c r="F46" s="337">
        <v>8500000</v>
      </c>
      <c r="G46" s="338">
        <f>F46*(1+bdMacroeconomicos!$B$17)*(1+bdMacroeconomicos!$B$18)*(1+bdMacroeconomicos!$B$19)</f>
        <v>10270180.297599999</v>
      </c>
      <c r="H46" s="336"/>
      <c r="I46" s="336"/>
      <c r="L46" s="220"/>
    </row>
    <row r="47" spans="1:17" x14ac:dyDescent="0.2">
      <c r="A47" s="4"/>
      <c r="B47" s="1">
        <f t="shared" si="2"/>
        <v>21</v>
      </c>
      <c r="C47" s="1" t="s">
        <v>503</v>
      </c>
      <c r="D47" s="335" t="s">
        <v>485</v>
      </c>
      <c r="E47" s="336">
        <f>E46+4</f>
        <v>52</v>
      </c>
      <c r="F47" s="337">
        <v>8500000</v>
      </c>
      <c r="G47" s="338">
        <f>F47*(1+bdMacroeconomicos!$B$17)*(1+bdMacroeconomicos!$B$18)*(1+bdMacroeconomicos!$B$19)</f>
        <v>10270180.297599999</v>
      </c>
      <c r="H47" s="339"/>
      <c r="I47" s="339"/>
      <c r="L47" s="220"/>
    </row>
    <row r="48" spans="1:17" x14ac:dyDescent="0.2">
      <c r="A48" s="1"/>
      <c r="B48" s="1">
        <f t="shared" si="2"/>
        <v>22</v>
      </c>
      <c r="C48" s="1" t="s">
        <v>503</v>
      </c>
      <c r="D48" s="335" t="s">
        <v>485</v>
      </c>
      <c r="E48" s="336">
        <f>E47+4</f>
        <v>56</v>
      </c>
      <c r="F48" s="337">
        <v>8500000</v>
      </c>
      <c r="G48" s="338">
        <f>F48*(1+bdMacroeconomicos!$B$17)*(1+bdMacroeconomicos!$B$18)*(1+bdMacroeconomicos!$B$19)</f>
        <v>10270180.297599999</v>
      </c>
      <c r="H48" s="336"/>
      <c r="I48" s="336"/>
      <c r="L48" s="220"/>
    </row>
    <row r="49" spans="1:12" x14ac:dyDescent="0.2">
      <c r="A49" s="1"/>
      <c r="B49" s="1">
        <f t="shared" si="2"/>
        <v>23</v>
      </c>
      <c r="C49" s="1" t="s">
        <v>503</v>
      </c>
      <c r="D49" s="335" t="s">
        <v>485</v>
      </c>
      <c r="E49" s="336">
        <f>E48+4</f>
        <v>60</v>
      </c>
      <c r="F49" s="337">
        <v>8500000</v>
      </c>
      <c r="G49" s="338">
        <f>F49*(1+bdMacroeconomicos!$B$17)*(1+bdMacroeconomicos!$B$18)*(1+bdMacroeconomicos!$B$19)</f>
        <v>10270180.297599999</v>
      </c>
      <c r="H49" s="336"/>
      <c r="I49" s="336"/>
      <c r="L49" s="220"/>
    </row>
    <row r="50" spans="1:12" x14ac:dyDescent="0.2">
      <c r="A50" s="341" t="str">
        <f>CONCATENATE(A6," ", "GRADO"," ",C6)</f>
        <v>JEFE OFICINA JURIDICA GRADO 14</v>
      </c>
      <c r="B50" s="342">
        <f t="shared" si="2"/>
        <v>24</v>
      </c>
      <c r="C50" s="342" t="s">
        <v>502</v>
      </c>
      <c r="D50" s="343" t="s">
        <v>485</v>
      </c>
      <c r="E50" s="342">
        <v>52</v>
      </c>
      <c r="F50" s="344">
        <v>13000000</v>
      </c>
      <c r="G50" s="345">
        <f>F50*(1+bdMacroeconomicos!$B$17)*(1+bdMacroeconomicos!$B$18)*(1+bdMacroeconomicos!$B$19)</f>
        <v>15707334.572799999</v>
      </c>
      <c r="H50" s="346" t="str">
        <f>+A6</f>
        <v>JEFE OFICINA JURIDICA</v>
      </c>
      <c r="I50" s="346">
        <v>14</v>
      </c>
      <c r="L50" s="220"/>
    </row>
    <row r="51" spans="1:12" x14ac:dyDescent="0.2">
      <c r="A51" s="341" t="str">
        <f>CONCATENATE(A5," ", "GRADO"," ",C5)</f>
        <v>SUBDIRECTOR@ GRADO 14</v>
      </c>
      <c r="B51" s="342">
        <f t="shared" si="2"/>
        <v>25</v>
      </c>
      <c r="C51" s="342" t="s">
        <v>502</v>
      </c>
      <c r="D51" s="343" t="s">
        <v>485</v>
      </c>
      <c r="E51" s="342">
        <v>60</v>
      </c>
      <c r="F51" s="344">
        <v>13000000</v>
      </c>
      <c r="G51" s="345">
        <f>F51*(1+bdMacroeconomicos!$B$17)*(1+bdMacroeconomicos!$B$18)*(1+bdMacroeconomicos!$B$19)</f>
        <v>15707334.572799999</v>
      </c>
      <c r="H51" s="342" t="str">
        <f>+A5</f>
        <v>SUBDIRECTOR@</v>
      </c>
      <c r="I51" s="342">
        <v>14</v>
      </c>
      <c r="L51" s="220"/>
    </row>
    <row r="52" spans="1:12" x14ac:dyDescent="0.2">
      <c r="A52" s="341" t="str">
        <f>CONCATENATE(A4," ", "GRADO"," ",C4)</f>
        <v>DIRECTOR@ GENERAL GRADO 20</v>
      </c>
      <c r="B52" s="342">
        <f t="shared" si="2"/>
        <v>26</v>
      </c>
      <c r="C52" s="342" t="s">
        <v>502</v>
      </c>
      <c r="D52" s="343" t="s">
        <v>485</v>
      </c>
      <c r="E52" s="342">
        <v>72</v>
      </c>
      <c r="F52" s="344">
        <v>14500000</v>
      </c>
      <c r="G52" s="345">
        <f>F52*(1+bdMacroeconomicos!$B$17)*(1+bdMacroeconomicos!$B$18)*(1+bdMacroeconomicos!$B$19)</f>
        <v>17519719.3312</v>
      </c>
      <c r="H52" s="342" t="str">
        <f>+A4</f>
        <v>DIRECTOR@ GENERAL</v>
      </c>
      <c r="I52" s="342">
        <v>20</v>
      </c>
      <c r="L52" s="220"/>
    </row>
    <row r="53" spans="1:12" x14ac:dyDescent="0.2">
      <c r="A53" s="1"/>
      <c r="B53" s="1">
        <f t="shared" si="2"/>
        <v>27</v>
      </c>
      <c r="C53" s="1" t="s">
        <v>504</v>
      </c>
      <c r="D53" s="335" t="s">
        <v>485</v>
      </c>
      <c r="E53" s="336">
        <v>60</v>
      </c>
      <c r="F53" s="337">
        <v>14500000</v>
      </c>
      <c r="G53" s="338">
        <f>F53*(1+bdMacroeconomicos!$B$17)*(1+bdMacroeconomicos!$B$18)*(1+bdMacroeconomicos!$B$19)</f>
        <v>17519719.3312</v>
      </c>
      <c r="H53" s="336"/>
      <c r="I53" s="336"/>
      <c r="L53" s="220"/>
    </row>
    <row r="54" spans="1:12" x14ac:dyDescent="0.2">
      <c r="A54" s="1"/>
      <c r="B54" s="1"/>
      <c r="C54" s="1" t="s">
        <v>486</v>
      </c>
      <c r="D54" s="335" t="s">
        <v>487</v>
      </c>
      <c r="E54" s="336"/>
      <c r="F54" s="337"/>
      <c r="G54" s="336"/>
      <c r="H54" s="336"/>
      <c r="I54" s="336"/>
    </row>
    <row r="55" spans="1:12" x14ac:dyDescent="0.2">
      <c r="A55" s="1"/>
      <c r="B55" s="1"/>
      <c r="C55" s="1" t="s">
        <v>490</v>
      </c>
      <c r="D55" s="328" t="s">
        <v>488</v>
      </c>
      <c r="E55" s="1"/>
      <c r="F55" s="135"/>
      <c r="G55" s="1"/>
      <c r="H55" s="1"/>
      <c r="I55" s="1"/>
    </row>
    <row r="56" spans="1:12" x14ac:dyDescent="0.2">
      <c r="A56" s="1"/>
      <c r="B56" s="1"/>
      <c r="C56" s="1" t="s">
        <v>491</v>
      </c>
      <c r="D56" s="328" t="s">
        <v>489</v>
      </c>
      <c r="E56" s="1"/>
      <c r="F56" s="135"/>
      <c r="G56" s="1"/>
      <c r="H56" s="1"/>
      <c r="I56" s="1"/>
    </row>
    <row r="57" spans="1:12" x14ac:dyDescent="0.2">
      <c r="A57" s="1"/>
      <c r="B57" s="1"/>
      <c r="C57" s="1" t="s">
        <v>492</v>
      </c>
      <c r="D57" s="328" t="s">
        <v>496</v>
      </c>
      <c r="E57" s="1"/>
      <c r="F57" s="135"/>
      <c r="G57" s="1"/>
      <c r="H57" s="1"/>
      <c r="I57" s="1"/>
    </row>
    <row r="58" spans="1:12" x14ac:dyDescent="0.2">
      <c r="A58" s="1"/>
      <c r="B58" s="1"/>
      <c r="C58" s="1" t="s">
        <v>493</v>
      </c>
      <c r="D58" s="328" t="s">
        <v>497</v>
      </c>
      <c r="E58" s="1"/>
      <c r="F58" s="135"/>
      <c r="G58" s="1"/>
      <c r="H58" s="1"/>
      <c r="I58" s="1"/>
    </row>
    <row r="59" spans="1:12" ht="25.5" x14ac:dyDescent="0.2">
      <c r="A59" s="1"/>
      <c r="B59" s="1"/>
      <c r="C59" s="1" t="s">
        <v>494</v>
      </c>
      <c r="D59" s="328" t="s">
        <v>498</v>
      </c>
      <c r="E59" s="1"/>
      <c r="F59" s="135"/>
      <c r="G59" s="1"/>
      <c r="H59" s="1"/>
      <c r="I59" s="1"/>
    </row>
    <row r="60" spans="1:12" ht="38.25" x14ac:dyDescent="0.2">
      <c r="A60" s="1"/>
      <c r="B60" s="1"/>
      <c r="C60" s="1" t="s">
        <v>495</v>
      </c>
      <c r="D60" s="328" t="s">
        <v>499</v>
      </c>
      <c r="E60" s="1"/>
      <c r="F60" s="135"/>
      <c r="G60" s="1"/>
      <c r="H60" s="1"/>
      <c r="I60" s="1"/>
    </row>
    <row r="61" spans="1:12" x14ac:dyDescent="0.2">
      <c r="B61" s="145" t="s">
        <v>726</v>
      </c>
    </row>
    <row r="65" spans="1:1" hidden="1" x14ac:dyDescent="0.2">
      <c r="A65" s="5" t="s">
        <v>520</v>
      </c>
    </row>
    <row r="66" spans="1:1" hidden="1" x14ac:dyDescent="0.2">
      <c r="A66" s="5"/>
    </row>
    <row r="67" spans="1:1" hidden="1" x14ac:dyDescent="0.2">
      <c r="A67" t="s">
        <v>512</v>
      </c>
    </row>
    <row r="68" spans="1:1" hidden="1" x14ac:dyDescent="0.2">
      <c r="A68" t="s">
        <v>519</v>
      </c>
    </row>
    <row r="69" spans="1:1" hidden="1" x14ac:dyDescent="0.2">
      <c r="A69" t="s">
        <v>518</v>
      </c>
    </row>
    <row r="70" spans="1:1" hidden="1" x14ac:dyDescent="0.2">
      <c r="A70" t="s">
        <v>516</v>
      </c>
    </row>
    <row r="71" spans="1:1" hidden="1" x14ac:dyDescent="0.2">
      <c r="A71" t="s">
        <v>517</v>
      </c>
    </row>
    <row r="72" spans="1:1" hidden="1" x14ac:dyDescent="0.2">
      <c r="A72" s="5" t="s">
        <v>515</v>
      </c>
    </row>
    <row r="73" spans="1:1" hidden="1" x14ac:dyDescent="0.2">
      <c r="A73" t="s">
        <v>514</v>
      </c>
    </row>
    <row r="74" spans="1:1" hidden="1" x14ac:dyDescent="0.2">
      <c r="A74" t="s">
        <v>513</v>
      </c>
    </row>
    <row r="75" spans="1:1" hidden="1" x14ac:dyDescent="0.2"/>
  </sheetData>
  <autoFilter ref="A26:I61"/>
  <mergeCells count="5">
    <mergeCell ref="A1:D1"/>
    <mergeCell ref="L28:L29"/>
    <mergeCell ref="N28:N29"/>
    <mergeCell ref="O28:O29"/>
    <mergeCell ref="P28:Q28"/>
  </mergeCells>
  <pageMargins left="0.7" right="0.7" top="0.75" bottom="0.75" header="0.3" footer="0.3"/>
  <pageSetup paperSize="9" orientation="portrait" r:id="rId1"/>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K74"/>
  <sheetViews>
    <sheetView workbookViewId="0">
      <selection activeCell="F9" sqref="F9"/>
    </sheetView>
  </sheetViews>
  <sheetFormatPr baseColWidth="10" defaultRowHeight="12.75" x14ac:dyDescent="0.2"/>
  <cols>
    <col min="1" max="1" width="30.85546875" customWidth="1"/>
    <col min="2" max="2" width="20.7109375" customWidth="1"/>
    <col min="3" max="3" width="15.28515625" bestFit="1" customWidth="1"/>
    <col min="4" max="4" width="13" bestFit="1" customWidth="1"/>
    <col min="5" max="5" width="15.140625" customWidth="1"/>
    <col min="6" max="6" width="10.28515625" bestFit="1" customWidth="1"/>
    <col min="7" max="7" width="3.140625" customWidth="1"/>
  </cols>
  <sheetData>
    <row r="1" spans="1:11" ht="15.75" x14ac:dyDescent="0.2">
      <c r="B1" s="540" t="s">
        <v>20</v>
      </c>
      <c r="C1" s="540"/>
      <c r="D1" s="540"/>
      <c r="E1" s="540"/>
    </row>
    <row r="2" spans="1:11" ht="15.75" x14ac:dyDescent="0.2">
      <c r="B2" s="10"/>
    </row>
    <row r="3" spans="1:11" ht="22.5" customHeight="1" x14ac:dyDescent="0.2">
      <c r="B3" s="543" t="s">
        <v>21</v>
      </c>
      <c r="C3" s="544"/>
      <c r="D3" s="544"/>
      <c r="E3" s="544"/>
    </row>
    <row r="4" spans="1:11" ht="56.25" x14ac:dyDescent="0.2">
      <c r="A4" s="14" t="s">
        <v>64</v>
      </c>
      <c r="B4" s="542" t="s">
        <v>22</v>
      </c>
      <c r="C4" s="542"/>
      <c r="D4" s="155" t="s">
        <v>72</v>
      </c>
      <c r="E4" s="152" t="s">
        <v>523</v>
      </c>
      <c r="F4" s="152" t="s">
        <v>73</v>
      </c>
      <c r="G4" s="24"/>
    </row>
    <row r="5" spans="1:11" x14ac:dyDescent="0.2">
      <c r="A5" s="152"/>
      <c r="B5" s="152" t="s">
        <v>23</v>
      </c>
      <c r="C5" s="152" t="s">
        <v>24</v>
      </c>
      <c r="D5" s="155" t="s">
        <v>24</v>
      </c>
      <c r="E5" s="152"/>
      <c r="F5" s="152"/>
      <c r="G5" s="20"/>
    </row>
    <row r="6" spans="1:11" x14ac:dyDescent="0.2">
      <c r="A6" s="153" t="s">
        <v>524</v>
      </c>
      <c r="B6" s="153">
        <v>0</v>
      </c>
      <c r="C6" s="153">
        <v>1228413</v>
      </c>
      <c r="D6" s="156">
        <v>111414</v>
      </c>
      <c r="E6" s="153">
        <f>D6*25%</f>
        <v>27853.5</v>
      </c>
      <c r="F6" s="153">
        <v>1</v>
      </c>
      <c r="G6" s="20"/>
    </row>
    <row r="7" spans="1:11" ht="22.5" x14ac:dyDescent="0.2">
      <c r="A7" s="157" t="s">
        <v>515</v>
      </c>
      <c r="B7" s="154">
        <v>1228413</v>
      </c>
      <c r="C7" s="154">
        <v>1930333</v>
      </c>
      <c r="D7" s="156">
        <v>152268</v>
      </c>
      <c r="E7" s="154">
        <f t="shared" ref="E7:E17" si="0">D7*25%</f>
        <v>38067</v>
      </c>
      <c r="F7" s="154">
        <f>F6+1</f>
        <v>2</v>
      </c>
      <c r="G7" s="22"/>
    </row>
    <row r="8" spans="1:11" ht="22.5" x14ac:dyDescent="0.2">
      <c r="A8" s="157" t="s">
        <v>516</v>
      </c>
      <c r="B8" s="154">
        <v>1930333</v>
      </c>
      <c r="C8" s="154">
        <v>2577679</v>
      </c>
      <c r="D8" s="156">
        <v>184753</v>
      </c>
      <c r="E8" s="154">
        <f t="shared" si="0"/>
        <v>46188.25</v>
      </c>
      <c r="F8" s="154">
        <f t="shared" ref="F8:F9" si="1">F7+1</f>
        <v>3</v>
      </c>
    </row>
    <row r="9" spans="1:11" ht="22.5" x14ac:dyDescent="0.2">
      <c r="A9" s="157" t="s">
        <v>517</v>
      </c>
      <c r="B9" s="154">
        <v>2577679</v>
      </c>
      <c r="C9" s="154">
        <v>3269437</v>
      </c>
      <c r="D9" s="156">
        <v>214980</v>
      </c>
      <c r="E9" s="154">
        <f t="shared" si="0"/>
        <v>53745</v>
      </c>
      <c r="F9" s="154">
        <f t="shared" si="1"/>
        <v>4</v>
      </c>
    </row>
    <row r="10" spans="1:11" x14ac:dyDescent="0.2">
      <c r="A10" s="157" t="s">
        <v>524</v>
      </c>
      <c r="B10" s="154">
        <v>3269437</v>
      </c>
      <c r="C10" s="154">
        <v>3948523</v>
      </c>
      <c r="D10" s="156">
        <v>246864</v>
      </c>
      <c r="E10" s="154">
        <f t="shared" si="0"/>
        <v>61716</v>
      </c>
      <c r="F10" s="154">
        <f>F9+1</f>
        <v>5</v>
      </c>
      <c r="G10" s="22"/>
    </row>
    <row r="11" spans="1:11" ht="22.5" x14ac:dyDescent="0.2">
      <c r="A11" s="157" t="s">
        <v>518</v>
      </c>
      <c r="B11" s="154">
        <v>3948523</v>
      </c>
      <c r="C11" s="154">
        <v>5954970</v>
      </c>
      <c r="D11" s="156">
        <v>278634</v>
      </c>
      <c r="E11" s="154">
        <f t="shared" si="0"/>
        <v>69658.5</v>
      </c>
      <c r="F11" s="154">
        <f t="shared" ref="F11:F16" si="2">F10+1</f>
        <v>6</v>
      </c>
    </row>
    <row r="12" spans="1:11" ht="22.5" x14ac:dyDescent="0.2">
      <c r="A12" s="157" t="s">
        <v>519</v>
      </c>
      <c r="B12" s="154">
        <v>5954970</v>
      </c>
      <c r="C12" s="154">
        <v>8322997</v>
      </c>
      <c r="D12" s="156">
        <v>338443</v>
      </c>
      <c r="E12" s="154">
        <f t="shared" ref="E12" si="3">D12*25%</f>
        <v>84610.75</v>
      </c>
      <c r="F12" s="154">
        <f t="shared" si="2"/>
        <v>7</v>
      </c>
    </row>
    <row r="13" spans="1:11" ht="22.5" x14ac:dyDescent="0.2">
      <c r="A13" s="157" t="s">
        <v>512</v>
      </c>
      <c r="B13" s="154">
        <v>8322997</v>
      </c>
      <c r="C13" s="154">
        <v>9882403</v>
      </c>
      <c r="D13" s="156">
        <v>456561</v>
      </c>
      <c r="E13" s="154">
        <f t="shared" si="0"/>
        <v>114140.25</v>
      </c>
      <c r="F13" s="154">
        <f t="shared" si="2"/>
        <v>8</v>
      </c>
      <c r="K13" s="5"/>
    </row>
    <row r="14" spans="1:11" x14ac:dyDescent="0.2">
      <c r="A14" s="157" t="s">
        <v>524</v>
      </c>
      <c r="B14" s="154">
        <v>9882403</v>
      </c>
      <c r="C14" s="154">
        <v>12165606</v>
      </c>
      <c r="D14" s="156">
        <v>593522</v>
      </c>
      <c r="E14" s="154">
        <f t="shared" si="0"/>
        <v>148380.5</v>
      </c>
      <c r="F14" s="154">
        <f t="shared" si="2"/>
        <v>9</v>
      </c>
      <c r="G14" s="22"/>
    </row>
    <row r="15" spans="1:11" x14ac:dyDescent="0.2">
      <c r="A15" s="158" t="s">
        <v>514</v>
      </c>
      <c r="B15" s="154">
        <v>12165606</v>
      </c>
      <c r="C15" s="154">
        <v>14710550</v>
      </c>
      <c r="D15" s="156">
        <v>717923</v>
      </c>
      <c r="E15" s="154">
        <f t="shared" si="0"/>
        <v>179480.75</v>
      </c>
      <c r="F15" s="154">
        <f t="shared" si="2"/>
        <v>10</v>
      </c>
    </row>
    <row r="16" spans="1:11" x14ac:dyDescent="0.2">
      <c r="A16" s="158" t="s">
        <v>513</v>
      </c>
      <c r="B16" s="154">
        <v>14710550</v>
      </c>
      <c r="C16" s="154" t="s">
        <v>25</v>
      </c>
      <c r="D16" s="156">
        <v>845463</v>
      </c>
      <c r="E16" s="154">
        <f t="shared" si="0"/>
        <v>211365.75</v>
      </c>
      <c r="F16" s="154">
        <f t="shared" si="2"/>
        <v>11</v>
      </c>
    </row>
    <row r="17" spans="1:9" x14ac:dyDescent="0.2">
      <c r="A17" s="153"/>
      <c r="B17" s="153"/>
      <c r="C17" s="153"/>
      <c r="D17" s="156"/>
      <c r="E17" s="153">
        <f t="shared" si="0"/>
        <v>0</v>
      </c>
      <c r="F17" s="154"/>
      <c r="G17" s="22"/>
    </row>
    <row r="18" spans="1:9" x14ac:dyDescent="0.2">
      <c r="A18" s="5" t="s">
        <v>573</v>
      </c>
      <c r="D18" s="23"/>
      <c r="E18" s="21"/>
      <c r="F18" s="21"/>
      <c r="G18" s="22"/>
    </row>
    <row r="19" spans="1:9" ht="12.75" customHeight="1" x14ac:dyDescent="0.2">
      <c r="B19" s="541" t="s">
        <v>425</v>
      </c>
      <c r="C19" s="541"/>
      <c r="D19" s="541"/>
      <c r="E19" s="541"/>
      <c r="F19" s="541"/>
      <c r="G19" s="541"/>
    </row>
    <row r="20" spans="1:9" x14ac:dyDescent="0.2">
      <c r="B20" s="541"/>
      <c r="C20" s="541"/>
      <c r="D20" s="541"/>
      <c r="E20" s="541"/>
      <c r="F20" s="541"/>
      <c r="G20" s="541"/>
    </row>
    <row r="21" spans="1:9" ht="21" customHeight="1" x14ac:dyDescent="0.2">
      <c r="B21" s="541"/>
      <c r="C21" s="541"/>
      <c r="D21" s="541"/>
      <c r="E21" s="541"/>
      <c r="F21" s="541"/>
      <c r="G21" s="541"/>
    </row>
    <row r="22" spans="1:9" ht="19.5" customHeight="1" x14ac:dyDescent="0.2">
      <c r="B22" s="541"/>
      <c r="C22" s="541"/>
      <c r="D22" s="541"/>
      <c r="E22" s="541"/>
      <c r="F22" s="541"/>
      <c r="G22" s="541"/>
    </row>
    <row r="24" spans="1:9" ht="15.75" x14ac:dyDescent="0.2">
      <c r="B24" s="10" t="s">
        <v>77</v>
      </c>
    </row>
    <row r="25" spans="1:9" ht="25.5" x14ac:dyDescent="0.2">
      <c r="B25" s="25" t="s">
        <v>0</v>
      </c>
      <c r="C25" s="25" t="s">
        <v>65</v>
      </c>
      <c r="D25" s="25" t="s">
        <v>74</v>
      </c>
      <c r="E25" s="25" t="s">
        <v>58</v>
      </c>
      <c r="F25" s="12" t="s">
        <v>75</v>
      </c>
      <c r="G25" s="25" t="s">
        <v>76</v>
      </c>
    </row>
    <row r="26" spans="1:9" x14ac:dyDescent="0.2">
      <c r="A26" t="str">
        <f>+CONCATENATE(B26,C26)</f>
        <v>DIRECTOR GENERAL20</v>
      </c>
      <c r="B26" t="s">
        <v>5</v>
      </c>
      <c r="C26">
        <v>20</v>
      </c>
      <c r="D26" s="7">
        <v>8872530</v>
      </c>
      <c r="E26" s="7">
        <v>300257</v>
      </c>
      <c r="F26" s="7">
        <v>75064.25</v>
      </c>
      <c r="G26">
        <v>8</v>
      </c>
      <c r="I26" s="220"/>
    </row>
    <row r="27" spans="1:9" x14ac:dyDescent="0.2">
      <c r="A27" t="str">
        <f t="shared" ref="A27:A40" si="4">+CONCATENATE(B27,C27)</f>
        <v>SUBDIRECTOR14</v>
      </c>
      <c r="B27" t="s">
        <v>7</v>
      </c>
      <c r="C27">
        <v>14</v>
      </c>
      <c r="D27" s="7">
        <v>6338312</v>
      </c>
      <c r="E27" s="7">
        <v>247196</v>
      </c>
      <c r="F27" s="7">
        <v>61799</v>
      </c>
      <c r="G27">
        <v>7</v>
      </c>
      <c r="I27" s="220"/>
    </row>
    <row r="28" spans="1:9" x14ac:dyDescent="0.2">
      <c r="A28" t="str">
        <f t="shared" si="4"/>
        <v>JEFE DE OFICINA10</v>
      </c>
      <c r="B28" t="s">
        <v>8</v>
      </c>
      <c r="C28">
        <v>10</v>
      </c>
      <c r="D28" s="7">
        <v>5503067</v>
      </c>
      <c r="E28" s="7">
        <v>247196</v>
      </c>
      <c r="F28" s="7">
        <v>61799</v>
      </c>
      <c r="G28">
        <v>6</v>
      </c>
      <c r="I28" s="220"/>
    </row>
    <row r="29" spans="1:9" x14ac:dyDescent="0.2">
      <c r="A29" t="str">
        <f t="shared" si="4"/>
        <v>ASESOR6</v>
      </c>
      <c r="B29" t="s">
        <v>9</v>
      </c>
      <c r="C29">
        <v>6</v>
      </c>
      <c r="D29" s="7">
        <v>5163475</v>
      </c>
      <c r="E29" s="7">
        <v>219010</v>
      </c>
      <c r="F29" s="7">
        <v>54752.5</v>
      </c>
      <c r="G29">
        <v>5</v>
      </c>
    </row>
    <row r="30" spans="1:9" x14ac:dyDescent="0.2">
      <c r="A30" t="str">
        <f t="shared" si="4"/>
        <v>PROFESIONAL ESPECIALIZADO13</v>
      </c>
      <c r="B30" t="s">
        <v>10</v>
      </c>
      <c r="C30">
        <v>13</v>
      </c>
      <c r="D30" s="7">
        <v>3788145</v>
      </c>
      <c r="E30" s="7">
        <v>219010</v>
      </c>
      <c r="F30" s="7">
        <v>54752.5</v>
      </c>
      <c r="G30">
        <v>5</v>
      </c>
    </row>
    <row r="31" spans="1:9" x14ac:dyDescent="0.2">
      <c r="A31" t="str">
        <f t="shared" si="4"/>
        <v>PROFESIONAL UNIVERSITARIO11</v>
      </c>
      <c r="B31" t="s">
        <v>12</v>
      </c>
      <c r="C31">
        <v>11</v>
      </c>
      <c r="D31" s="7">
        <v>3295498</v>
      </c>
      <c r="E31" s="7">
        <v>219010</v>
      </c>
      <c r="F31" s="7">
        <v>54752.5</v>
      </c>
      <c r="G31">
        <v>5</v>
      </c>
    </row>
    <row r="32" spans="1:9" x14ac:dyDescent="0.2">
      <c r="A32" t="str">
        <f t="shared" si="4"/>
        <v>PROFESIONAL UNIVERSITARIO8</v>
      </c>
      <c r="B32" t="s">
        <v>12</v>
      </c>
      <c r="C32">
        <v>8</v>
      </c>
      <c r="D32" s="7">
        <v>2931810</v>
      </c>
      <c r="E32" s="7">
        <v>190723</v>
      </c>
      <c r="F32" s="7">
        <v>47680.75</v>
      </c>
      <c r="G32">
        <v>4</v>
      </c>
    </row>
    <row r="33" spans="1:7" x14ac:dyDescent="0.2">
      <c r="A33" t="str">
        <f t="shared" si="4"/>
        <v>TECNICO ADMINISTRATIVO16</v>
      </c>
      <c r="B33" t="s">
        <v>13</v>
      </c>
      <c r="C33">
        <v>16</v>
      </c>
      <c r="D33" s="7">
        <v>2608619</v>
      </c>
      <c r="E33" s="7">
        <v>190723</v>
      </c>
      <c r="F33" s="7">
        <v>47680.75</v>
      </c>
      <c r="G33">
        <v>4</v>
      </c>
    </row>
    <row r="34" spans="1:7" x14ac:dyDescent="0.2">
      <c r="A34" t="str">
        <f t="shared" si="4"/>
        <v>TECNICO ADMINISTRATIVO14</v>
      </c>
      <c r="B34" t="s">
        <v>13</v>
      </c>
      <c r="C34">
        <v>14</v>
      </c>
      <c r="D34" s="7">
        <v>2209108</v>
      </c>
      <c r="E34" s="7">
        <v>163907</v>
      </c>
      <c r="F34" s="7">
        <v>40976.75</v>
      </c>
      <c r="G34">
        <v>3</v>
      </c>
    </row>
    <row r="35" spans="1:7" x14ac:dyDescent="0.2">
      <c r="A35" t="str">
        <f t="shared" si="4"/>
        <v>SECRETARIA EJECUTIVA18</v>
      </c>
      <c r="B35" t="s">
        <v>15</v>
      </c>
      <c r="C35">
        <v>18</v>
      </c>
      <c r="D35" s="7">
        <v>1787727</v>
      </c>
      <c r="E35" s="7">
        <v>135087</v>
      </c>
      <c r="F35" s="7">
        <v>33771.75</v>
      </c>
      <c r="G35">
        <v>2</v>
      </c>
    </row>
    <row r="36" spans="1:7" x14ac:dyDescent="0.2">
      <c r="A36" t="str">
        <f t="shared" si="4"/>
        <v>SECRETARIA EJECUTIVA16</v>
      </c>
      <c r="B36" t="s">
        <v>15</v>
      </c>
      <c r="C36">
        <v>16</v>
      </c>
      <c r="D36" s="7">
        <v>1708377</v>
      </c>
      <c r="E36" s="7">
        <v>135087</v>
      </c>
      <c r="F36" s="7">
        <v>33771.75</v>
      </c>
      <c r="G36">
        <v>2</v>
      </c>
    </row>
    <row r="37" spans="1:7" x14ac:dyDescent="0.2">
      <c r="A37" t="str">
        <f t="shared" si="4"/>
        <v>SECRETARIA14</v>
      </c>
      <c r="B37" t="s">
        <v>17</v>
      </c>
      <c r="C37">
        <v>14</v>
      </c>
      <c r="D37" s="7">
        <v>1586345</v>
      </c>
      <c r="E37" s="7">
        <v>135087</v>
      </c>
      <c r="F37" s="7">
        <v>33771.75</v>
      </c>
      <c r="G37">
        <v>2</v>
      </c>
    </row>
    <row r="38" spans="1:7" x14ac:dyDescent="0.2">
      <c r="A38" t="str">
        <f t="shared" si="4"/>
        <v>OPERARIOS CALIFICADOS15</v>
      </c>
      <c r="B38" t="s">
        <v>18</v>
      </c>
      <c r="C38">
        <v>15</v>
      </c>
      <c r="D38" s="7">
        <v>1635651</v>
      </c>
      <c r="E38" s="7">
        <v>135087</v>
      </c>
      <c r="F38" s="7">
        <v>33771.75</v>
      </c>
      <c r="G38">
        <v>2</v>
      </c>
    </row>
    <row r="39" spans="1:7" x14ac:dyDescent="0.2">
      <c r="A39" t="str">
        <f t="shared" si="4"/>
        <v>OPERARIOS CALIFICADOS11</v>
      </c>
      <c r="B39" t="s">
        <v>18</v>
      </c>
      <c r="C39">
        <v>11</v>
      </c>
      <c r="D39" s="7">
        <v>1400462</v>
      </c>
      <c r="E39" s="7">
        <v>135087</v>
      </c>
      <c r="F39" s="7">
        <v>33771.75</v>
      </c>
      <c r="G39">
        <v>2</v>
      </c>
    </row>
    <row r="40" spans="1:7" x14ac:dyDescent="0.2">
      <c r="A40" t="str">
        <f t="shared" si="4"/>
        <v>AUXILIAR SERVICIOS GENERAL11</v>
      </c>
      <c r="B40" t="s">
        <v>19</v>
      </c>
      <c r="C40">
        <v>11</v>
      </c>
      <c r="D40" s="7">
        <v>1242451</v>
      </c>
      <c r="E40" s="7">
        <v>135087</v>
      </c>
      <c r="F40" s="7">
        <v>33771.75</v>
      </c>
      <c r="G40">
        <v>2</v>
      </c>
    </row>
    <row r="47" spans="1:7" x14ac:dyDescent="0.2">
      <c r="B47" s="23"/>
      <c r="C47" s="23"/>
    </row>
    <row r="48" spans="1:7" x14ac:dyDescent="0.2">
      <c r="B48" s="23"/>
      <c r="C48" s="23"/>
    </row>
    <row r="49" spans="2:3" x14ac:dyDescent="0.2">
      <c r="B49" s="23"/>
      <c r="C49" s="23"/>
    </row>
    <row r="50" spans="2:3" x14ac:dyDescent="0.2">
      <c r="B50" s="23"/>
      <c r="C50" s="23"/>
    </row>
    <row r="51" spans="2:3" x14ac:dyDescent="0.2">
      <c r="B51" s="23"/>
      <c r="C51" s="23"/>
    </row>
    <row r="52" spans="2:3" x14ac:dyDescent="0.2">
      <c r="B52" s="23"/>
      <c r="C52" s="23"/>
    </row>
    <row r="53" spans="2:3" x14ac:dyDescent="0.2">
      <c r="B53" s="23"/>
      <c r="C53" s="23"/>
    </row>
    <row r="54" spans="2:3" x14ac:dyDescent="0.2">
      <c r="B54" s="23"/>
      <c r="C54" s="162"/>
    </row>
    <row r="65" spans="2:2" x14ac:dyDescent="0.2">
      <c r="B65" s="23"/>
    </row>
    <row r="74" spans="2:2" x14ac:dyDescent="0.2">
      <c r="B74" t="s">
        <v>522</v>
      </c>
    </row>
  </sheetData>
  <sheetProtection password="9886" sheet="1" objects="1" scenarios="1"/>
  <mergeCells count="4">
    <mergeCell ref="B1:E1"/>
    <mergeCell ref="B19:G22"/>
    <mergeCell ref="B4:C4"/>
    <mergeCell ref="B3:E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O51"/>
  <sheetViews>
    <sheetView topLeftCell="I1" workbookViewId="0">
      <selection activeCell="K11" sqref="K11"/>
    </sheetView>
  </sheetViews>
  <sheetFormatPr baseColWidth="10" defaultRowHeight="12.75" x14ac:dyDescent="0.2"/>
  <cols>
    <col min="1" max="1" width="0" hidden="1" customWidth="1"/>
    <col min="2" max="2" width="21.7109375" hidden="1" customWidth="1"/>
    <col min="3" max="6" width="0" hidden="1" customWidth="1"/>
    <col min="7" max="8" width="13" hidden="1" customWidth="1"/>
    <col min="9" max="9" width="24.5703125" customWidth="1"/>
    <col min="10" max="10" width="20.7109375" customWidth="1"/>
    <col min="11" max="11" width="22.7109375" customWidth="1"/>
    <col min="12" max="12" width="15.42578125" customWidth="1"/>
  </cols>
  <sheetData>
    <row r="1" spans="1:15" ht="15.75" x14ac:dyDescent="0.2">
      <c r="I1" s="89" t="s">
        <v>384</v>
      </c>
      <c r="J1" s="90" t="s">
        <v>384</v>
      </c>
      <c r="K1" s="88" t="s">
        <v>386</v>
      </c>
    </row>
    <row r="2" spans="1:15" s="8" customFormat="1" ht="47.25" x14ac:dyDescent="0.2">
      <c r="A2" s="8" t="s">
        <v>41</v>
      </c>
      <c r="B2" s="8" t="s">
        <v>42</v>
      </c>
      <c r="C2" s="8" t="s">
        <v>39</v>
      </c>
      <c r="D2" s="8" t="s">
        <v>40</v>
      </c>
      <c r="E2" s="8" t="s">
        <v>363</v>
      </c>
      <c r="F2" s="63" t="s">
        <v>86</v>
      </c>
      <c r="G2" s="87" t="s">
        <v>381</v>
      </c>
      <c r="H2" s="87" t="s">
        <v>382</v>
      </c>
      <c r="I2" s="209" t="s">
        <v>383</v>
      </c>
      <c r="J2" s="209" t="s">
        <v>385</v>
      </c>
      <c r="K2" s="209" t="s">
        <v>380</v>
      </c>
      <c r="N2" s="216" t="s">
        <v>581</v>
      </c>
    </row>
    <row r="3" spans="1:15" ht="15.75" x14ac:dyDescent="0.2">
      <c r="A3" s="5" t="s">
        <v>26</v>
      </c>
      <c r="B3" s="5" t="s">
        <v>38</v>
      </c>
      <c r="C3" s="7">
        <f>D3*2</f>
        <v>48000</v>
      </c>
      <c r="D3" s="7">
        <v>24000</v>
      </c>
      <c r="G3">
        <v>72.599999999999994</v>
      </c>
      <c r="H3" s="26">
        <f>D3/G3</f>
        <v>330.57851239669424</v>
      </c>
      <c r="I3" s="89">
        <f>300*1.0318</f>
        <v>309.54000000000002</v>
      </c>
      <c r="J3" s="90">
        <f>1250*1.0318</f>
        <v>1289.75</v>
      </c>
      <c r="K3" s="88">
        <f>500*1.0318</f>
        <v>515.9</v>
      </c>
    </row>
    <row r="4" spans="1:15" hidden="1" x14ac:dyDescent="0.2">
      <c r="A4" s="5" t="s">
        <v>26</v>
      </c>
      <c r="B4" s="5" t="s">
        <v>37</v>
      </c>
      <c r="C4" s="7">
        <f t="shared" ref="C4:C35" si="0">D4*2</f>
        <v>76000</v>
      </c>
      <c r="D4" s="7">
        <v>38000</v>
      </c>
      <c r="G4">
        <v>146.80000000000001</v>
      </c>
      <c r="H4" s="26">
        <f t="shared" ref="H4:H10" si="1">D4/G4</f>
        <v>258.85558583106263</v>
      </c>
      <c r="I4">
        <v>270</v>
      </c>
      <c r="J4">
        <v>1017</v>
      </c>
      <c r="K4">
        <v>433</v>
      </c>
    </row>
    <row r="5" spans="1:15" x14ac:dyDescent="0.2">
      <c r="A5" s="5" t="s">
        <v>26</v>
      </c>
      <c r="B5" s="5" t="s">
        <v>36</v>
      </c>
      <c r="C5" s="7">
        <f t="shared" si="0"/>
        <v>34000</v>
      </c>
      <c r="D5" s="7">
        <v>17000</v>
      </c>
      <c r="E5" s="5"/>
      <c r="G5">
        <v>71</v>
      </c>
      <c r="H5" s="26">
        <f t="shared" si="1"/>
        <v>239.43661971830986</v>
      </c>
    </row>
    <row r="6" spans="1:15" ht="17.45" customHeight="1" x14ac:dyDescent="0.2">
      <c r="A6" s="5" t="s">
        <v>26</v>
      </c>
      <c r="B6" s="5" t="s">
        <v>49</v>
      </c>
      <c r="C6" s="7">
        <f t="shared" si="0"/>
        <v>26000</v>
      </c>
      <c r="D6" s="7">
        <v>13000</v>
      </c>
      <c r="E6" s="5"/>
      <c r="H6" s="92" t="e">
        <f t="shared" si="1"/>
        <v>#DIV/0!</v>
      </c>
      <c r="I6" s="547" t="s">
        <v>419</v>
      </c>
      <c r="J6" s="547"/>
      <c r="K6" s="547"/>
      <c r="L6" s="131"/>
      <c r="M6" s="112"/>
      <c r="N6" s="112"/>
      <c r="O6" s="112"/>
    </row>
    <row r="7" spans="1:15" ht="38.25" x14ac:dyDescent="0.2">
      <c r="A7" s="5" t="s">
        <v>26</v>
      </c>
      <c r="B7" s="5" t="s">
        <v>35</v>
      </c>
      <c r="C7" s="7">
        <f t="shared" si="0"/>
        <v>12000</v>
      </c>
      <c r="D7" s="7">
        <v>6000</v>
      </c>
      <c r="E7" s="5"/>
      <c r="G7">
        <v>33</v>
      </c>
      <c r="H7" s="26">
        <f t="shared" si="1"/>
        <v>181.81818181818181</v>
      </c>
      <c r="I7" s="210" t="s">
        <v>420</v>
      </c>
      <c r="J7" s="210" t="s">
        <v>424</v>
      </c>
      <c r="K7" s="210" t="s">
        <v>422</v>
      </c>
      <c r="L7" s="112"/>
      <c r="M7" s="112"/>
      <c r="N7" s="112"/>
    </row>
    <row r="8" spans="1:15" ht="33" customHeight="1" x14ac:dyDescent="0.2">
      <c r="A8" s="5" t="s">
        <v>26</v>
      </c>
      <c r="B8" s="5" t="s">
        <v>27</v>
      </c>
      <c r="C8" s="7">
        <f t="shared" si="0"/>
        <v>4000</v>
      </c>
      <c r="D8" s="7">
        <v>2000</v>
      </c>
      <c r="E8" s="5"/>
      <c r="G8">
        <v>15</v>
      </c>
      <c r="H8" s="26">
        <f t="shared" si="1"/>
        <v>133.33333333333334</v>
      </c>
      <c r="I8" s="113" t="s">
        <v>580</v>
      </c>
      <c r="J8" s="211">
        <v>200</v>
      </c>
      <c r="K8" s="116">
        <f>+J8*I3</f>
        <v>61908.000000000007</v>
      </c>
      <c r="L8" s="112"/>
      <c r="M8" s="112"/>
      <c r="N8" s="112"/>
    </row>
    <row r="9" spans="1:15" ht="33" customHeight="1" x14ac:dyDescent="0.2">
      <c r="A9" s="5" t="s">
        <v>26</v>
      </c>
      <c r="B9" s="5" t="s">
        <v>28</v>
      </c>
      <c r="C9" s="7">
        <f t="shared" si="0"/>
        <v>8000</v>
      </c>
      <c r="D9" s="7">
        <v>4000</v>
      </c>
      <c r="E9" s="5"/>
      <c r="G9">
        <v>26</v>
      </c>
      <c r="H9" s="26">
        <f t="shared" si="1"/>
        <v>153.84615384615384</v>
      </c>
      <c r="I9" s="113" t="s">
        <v>421</v>
      </c>
      <c r="J9" s="211">
        <v>100</v>
      </c>
      <c r="K9" s="116">
        <f>J9*J3</f>
        <v>128975</v>
      </c>
      <c r="L9" s="208"/>
      <c r="M9" s="112"/>
      <c r="N9" s="112"/>
    </row>
    <row r="10" spans="1:15" ht="33" customHeight="1" x14ac:dyDescent="0.2">
      <c r="A10" s="5" t="s">
        <v>26</v>
      </c>
      <c r="B10" s="5" t="s">
        <v>29</v>
      </c>
      <c r="C10" s="7">
        <f t="shared" si="0"/>
        <v>30000</v>
      </c>
      <c r="D10" s="7">
        <v>15000</v>
      </c>
      <c r="E10" s="5"/>
      <c r="G10">
        <v>83</v>
      </c>
      <c r="H10" s="26">
        <f t="shared" si="1"/>
        <v>180.72289156626505</v>
      </c>
      <c r="I10" s="113" t="s">
        <v>386</v>
      </c>
      <c r="J10" s="211">
        <v>200</v>
      </c>
      <c r="K10" s="116">
        <f>J10*K3</f>
        <v>103180</v>
      </c>
      <c r="L10" s="112"/>
      <c r="M10" s="112"/>
      <c r="N10" s="112"/>
    </row>
    <row r="11" spans="1:15" ht="42" customHeight="1" x14ac:dyDescent="0.2">
      <c r="A11" s="94" t="s">
        <v>26</v>
      </c>
      <c r="B11" s="94" t="s">
        <v>52</v>
      </c>
      <c r="C11" s="7">
        <f t="shared" si="0"/>
        <v>0</v>
      </c>
      <c r="D11" s="7"/>
      <c r="E11" s="5"/>
      <c r="H11" s="91"/>
      <c r="I11" s="545" t="s">
        <v>423</v>
      </c>
      <c r="J11" s="546"/>
      <c r="K11" s="114">
        <f>SUM(K8:K10)</f>
        <v>294063</v>
      </c>
      <c r="M11" s="112"/>
      <c r="N11" s="112"/>
      <c r="O11" s="112"/>
    </row>
    <row r="12" spans="1:15" x14ac:dyDescent="0.2">
      <c r="A12" s="94" t="s">
        <v>26</v>
      </c>
      <c r="B12" s="94" t="s">
        <v>51</v>
      </c>
      <c r="C12" s="7">
        <f t="shared" si="0"/>
        <v>0</v>
      </c>
      <c r="D12" s="7"/>
      <c r="E12" s="5"/>
      <c r="H12" s="91"/>
      <c r="I12" s="5" t="s">
        <v>577</v>
      </c>
    </row>
    <row r="13" spans="1:15" x14ac:dyDescent="0.2">
      <c r="A13" s="5" t="s">
        <v>26</v>
      </c>
      <c r="B13" s="5" t="s">
        <v>30</v>
      </c>
      <c r="C13" s="7">
        <f t="shared" si="0"/>
        <v>54000</v>
      </c>
      <c r="D13" s="7">
        <v>27000</v>
      </c>
      <c r="G13" s="95"/>
      <c r="H13" s="26" t="e">
        <f t="shared" ref="H13:H38" si="2">D13/G13</f>
        <v>#DIV/0!</v>
      </c>
      <c r="J13" s="115"/>
    </row>
    <row r="14" spans="1:15" x14ac:dyDescent="0.2">
      <c r="A14" s="5" t="s">
        <v>26</v>
      </c>
      <c r="B14" s="5" t="s">
        <v>31</v>
      </c>
      <c r="C14" s="7">
        <f t="shared" si="0"/>
        <v>62000</v>
      </c>
      <c r="D14" s="7">
        <v>31000</v>
      </c>
      <c r="G14" s="95"/>
      <c r="H14" s="26" t="e">
        <f t="shared" si="2"/>
        <v>#DIV/0!</v>
      </c>
    </row>
    <row r="15" spans="1:15" x14ac:dyDescent="0.2">
      <c r="A15" s="5" t="s">
        <v>26</v>
      </c>
      <c r="B15" s="5" t="s">
        <v>32</v>
      </c>
      <c r="C15" s="7">
        <f t="shared" si="0"/>
        <v>82000</v>
      </c>
      <c r="D15" s="7">
        <v>41000</v>
      </c>
      <c r="G15" s="95"/>
      <c r="H15" s="26" t="e">
        <f t="shared" si="2"/>
        <v>#DIV/0!</v>
      </c>
    </row>
    <row r="16" spans="1:15" x14ac:dyDescent="0.2">
      <c r="A16" s="5" t="s">
        <v>32</v>
      </c>
      <c r="B16" s="7" t="s">
        <v>31</v>
      </c>
      <c r="C16" s="7">
        <f t="shared" si="0"/>
        <v>20000</v>
      </c>
      <c r="D16" s="7">
        <v>10000</v>
      </c>
      <c r="G16">
        <v>32</v>
      </c>
      <c r="H16" s="26">
        <f t="shared" si="2"/>
        <v>312.5</v>
      </c>
    </row>
    <row r="17" spans="1:8" x14ac:dyDescent="0.2">
      <c r="A17" s="5" t="s">
        <v>32</v>
      </c>
      <c r="B17" s="7" t="s">
        <v>45</v>
      </c>
      <c r="C17" s="7">
        <f t="shared" si="0"/>
        <v>28000</v>
      </c>
      <c r="D17" s="7">
        <v>14000</v>
      </c>
      <c r="G17">
        <v>34.4</v>
      </c>
      <c r="H17" s="93">
        <f t="shared" si="2"/>
        <v>406.97674418604652</v>
      </c>
    </row>
    <row r="18" spans="1:8" x14ac:dyDescent="0.2">
      <c r="A18" s="5" t="s">
        <v>32</v>
      </c>
      <c r="B18" s="7" t="s">
        <v>46</v>
      </c>
      <c r="C18" s="7">
        <f t="shared" si="0"/>
        <v>28000</v>
      </c>
      <c r="D18" s="7">
        <v>14000</v>
      </c>
      <c r="H18" s="93" t="e">
        <f t="shared" si="2"/>
        <v>#DIV/0!</v>
      </c>
    </row>
    <row r="19" spans="1:8" x14ac:dyDescent="0.2">
      <c r="A19" s="5" t="s">
        <v>32</v>
      </c>
      <c r="B19" s="7" t="s">
        <v>47</v>
      </c>
      <c r="C19" s="7">
        <f t="shared" si="0"/>
        <v>18000</v>
      </c>
      <c r="D19" s="7">
        <v>9000</v>
      </c>
      <c r="G19">
        <v>25</v>
      </c>
      <c r="H19" s="93">
        <f t="shared" si="2"/>
        <v>360</v>
      </c>
    </row>
    <row r="20" spans="1:8" x14ac:dyDescent="0.2">
      <c r="A20" s="5" t="s">
        <v>32</v>
      </c>
      <c r="B20" s="7" t="s">
        <v>30</v>
      </c>
      <c r="C20" s="7">
        <f t="shared" si="0"/>
        <v>32000</v>
      </c>
      <c r="D20" s="9">
        <v>16000</v>
      </c>
      <c r="G20">
        <v>67</v>
      </c>
      <c r="H20" s="26">
        <f t="shared" si="2"/>
        <v>238.80597014925374</v>
      </c>
    </row>
    <row r="21" spans="1:8" x14ac:dyDescent="0.2">
      <c r="A21" s="5" t="s">
        <v>32</v>
      </c>
      <c r="B21" t="s">
        <v>48</v>
      </c>
      <c r="C21" s="7">
        <f t="shared" si="0"/>
        <v>44000</v>
      </c>
      <c r="D21" s="7">
        <v>22000</v>
      </c>
      <c r="G21">
        <v>90</v>
      </c>
      <c r="H21" s="93">
        <f t="shared" si="2"/>
        <v>244.44444444444446</v>
      </c>
    </row>
    <row r="22" spans="1:8" x14ac:dyDescent="0.2">
      <c r="A22" s="5" t="s">
        <v>32</v>
      </c>
      <c r="B22" s="5" t="s">
        <v>33</v>
      </c>
      <c r="C22" s="7">
        <f t="shared" si="0"/>
        <v>50000</v>
      </c>
      <c r="D22" s="9">
        <v>25000</v>
      </c>
      <c r="G22">
        <v>30</v>
      </c>
      <c r="H22" s="26">
        <f t="shared" si="2"/>
        <v>833.33333333333337</v>
      </c>
    </row>
    <row r="23" spans="1:8" x14ac:dyDescent="0.2">
      <c r="A23" s="5" t="s">
        <v>32</v>
      </c>
      <c r="B23" s="5" t="s">
        <v>59</v>
      </c>
      <c r="C23" s="7">
        <f t="shared" si="0"/>
        <v>20000</v>
      </c>
      <c r="D23" s="7">
        <v>10000</v>
      </c>
      <c r="G23" s="95"/>
      <c r="H23" s="26" t="e">
        <f t="shared" si="2"/>
        <v>#DIV/0!</v>
      </c>
    </row>
    <row r="24" spans="1:8" x14ac:dyDescent="0.2">
      <c r="A24" s="5" t="s">
        <v>32</v>
      </c>
      <c r="B24" s="5" t="s">
        <v>60</v>
      </c>
      <c r="C24" s="7">
        <f t="shared" si="0"/>
        <v>60000</v>
      </c>
      <c r="D24" s="9">
        <v>30000</v>
      </c>
      <c r="G24">
        <v>161</v>
      </c>
      <c r="H24" s="26">
        <f t="shared" si="2"/>
        <v>186.33540372670808</v>
      </c>
    </row>
    <row r="25" spans="1:8" x14ac:dyDescent="0.2">
      <c r="A25" s="5" t="s">
        <v>32</v>
      </c>
      <c r="B25" s="5" t="s">
        <v>357</v>
      </c>
      <c r="C25" s="7">
        <f t="shared" si="0"/>
        <v>24000</v>
      </c>
      <c r="D25" s="7">
        <v>12000</v>
      </c>
      <c r="G25">
        <v>25</v>
      </c>
      <c r="H25" s="93">
        <f t="shared" si="2"/>
        <v>480</v>
      </c>
    </row>
    <row r="26" spans="1:8" x14ac:dyDescent="0.2">
      <c r="A26" s="5" t="s">
        <v>32</v>
      </c>
      <c r="B26" s="5" t="s">
        <v>358</v>
      </c>
      <c r="C26" s="7">
        <f t="shared" si="0"/>
        <v>24000</v>
      </c>
      <c r="D26" s="9">
        <v>12000</v>
      </c>
      <c r="G26">
        <v>25</v>
      </c>
      <c r="H26" s="93">
        <f t="shared" si="2"/>
        <v>480</v>
      </c>
    </row>
    <row r="27" spans="1:8" x14ac:dyDescent="0.2">
      <c r="A27" s="5" t="s">
        <v>32</v>
      </c>
      <c r="B27" s="5" t="s">
        <v>359</v>
      </c>
      <c r="C27" s="7">
        <f t="shared" si="0"/>
        <v>70000</v>
      </c>
      <c r="D27" s="7">
        <v>35000</v>
      </c>
      <c r="G27">
        <v>60</v>
      </c>
      <c r="H27" s="93">
        <f t="shared" si="2"/>
        <v>583.33333333333337</v>
      </c>
    </row>
    <row r="28" spans="1:8" x14ac:dyDescent="0.2">
      <c r="A28" s="5" t="s">
        <v>32</v>
      </c>
      <c r="B28" s="5" t="s">
        <v>44</v>
      </c>
      <c r="C28" s="7">
        <f t="shared" si="0"/>
        <v>36000</v>
      </c>
      <c r="D28" s="9">
        <v>18000</v>
      </c>
      <c r="G28">
        <v>40</v>
      </c>
      <c r="H28" s="93">
        <f t="shared" si="2"/>
        <v>450</v>
      </c>
    </row>
    <row r="29" spans="1:8" x14ac:dyDescent="0.2">
      <c r="A29" s="5" t="s">
        <v>32</v>
      </c>
      <c r="B29" s="5" t="s">
        <v>43</v>
      </c>
      <c r="C29" s="7">
        <f t="shared" si="0"/>
        <v>20000</v>
      </c>
      <c r="D29" s="7">
        <v>10000</v>
      </c>
      <c r="G29">
        <v>30</v>
      </c>
      <c r="H29" s="93">
        <f t="shared" si="2"/>
        <v>333.33333333333331</v>
      </c>
    </row>
    <row r="30" spans="1:8" x14ac:dyDescent="0.2">
      <c r="A30" s="5" t="s">
        <v>32</v>
      </c>
      <c r="B30" s="5" t="s">
        <v>360</v>
      </c>
      <c r="C30" s="7">
        <f t="shared" ref="C30" si="3">D30*2</f>
        <v>100000</v>
      </c>
      <c r="D30" s="9">
        <v>50000</v>
      </c>
      <c r="E30" s="5" t="s">
        <v>361</v>
      </c>
      <c r="G30">
        <v>20</v>
      </c>
      <c r="H30" s="93">
        <f t="shared" si="2"/>
        <v>2500</v>
      </c>
    </row>
    <row r="31" spans="1:8" x14ac:dyDescent="0.2">
      <c r="A31" s="5" t="s">
        <v>34</v>
      </c>
      <c r="B31" s="5" t="s">
        <v>78</v>
      </c>
      <c r="C31" s="7">
        <f t="shared" si="0"/>
        <v>20000</v>
      </c>
      <c r="D31" s="7">
        <v>10000</v>
      </c>
      <c r="E31" s="5" t="s">
        <v>81</v>
      </c>
      <c r="H31" s="93" t="e">
        <f t="shared" si="2"/>
        <v>#DIV/0!</v>
      </c>
    </row>
    <row r="32" spans="1:8" x14ac:dyDescent="0.2">
      <c r="A32" s="5" t="s">
        <v>34</v>
      </c>
      <c r="B32" s="5" t="s">
        <v>78</v>
      </c>
      <c r="C32" s="7">
        <f>D32*1</f>
        <v>180000</v>
      </c>
      <c r="D32" s="27">
        <v>180000</v>
      </c>
      <c r="E32" s="5" t="s">
        <v>85</v>
      </c>
      <c r="G32">
        <v>50</v>
      </c>
      <c r="H32" s="93">
        <f t="shared" si="2"/>
        <v>3600</v>
      </c>
    </row>
    <row r="33" spans="1:8" x14ac:dyDescent="0.2">
      <c r="A33" s="5" t="s">
        <v>34</v>
      </c>
      <c r="B33" s="5" t="s">
        <v>82</v>
      </c>
      <c r="C33" s="7">
        <f t="shared" si="0"/>
        <v>240000</v>
      </c>
      <c r="D33" s="27">
        <v>120000</v>
      </c>
      <c r="E33" s="5" t="s">
        <v>79</v>
      </c>
      <c r="H33" s="93" t="e">
        <f t="shared" si="2"/>
        <v>#DIV/0!</v>
      </c>
    </row>
    <row r="34" spans="1:8" x14ac:dyDescent="0.2">
      <c r="A34" s="5" t="s">
        <v>34</v>
      </c>
      <c r="B34" s="5" t="s">
        <v>80</v>
      </c>
      <c r="C34" s="7">
        <f t="shared" si="0"/>
        <v>70000</v>
      </c>
      <c r="D34" s="27">
        <v>35000</v>
      </c>
      <c r="G34">
        <v>175</v>
      </c>
      <c r="H34" s="26">
        <f t="shared" si="2"/>
        <v>200</v>
      </c>
    </row>
    <row r="35" spans="1:8" x14ac:dyDescent="0.2">
      <c r="A35" s="5" t="s">
        <v>34</v>
      </c>
      <c r="B35" s="5" t="s">
        <v>83</v>
      </c>
      <c r="C35" s="7">
        <f t="shared" si="0"/>
        <v>50000</v>
      </c>
      <c r="D35" s="27">
        <v>25000</v>
      </c>
      <c r="G35" s="95"/>
      <c r="H35" s="26" t="e">
        <f t="shared" si="2"/>
        <v>#DIV/0!</v>
      </c>
    </row>
    <row r="36" spans="1:8" x14ac:dyDescent="0.2">
      <c r="A36" s="5" t="s">
        <v>37</v>
      </c>
      <c r="B36" s="5" t="s">
        <v>78</v>
      </c>
      <c r="C36" s="7">
        <f t="shared" ref="C36:C37" si="4">D36*2</f>
        <v>70000</v>
      </c>
      <c r="D36" s="27">
        <v>35000</v>
      </c>
      <c r="H36" s="92" t="e">
        <f t="shared" si="2"/>
        <v>#DIV/0!</v>
      </c>
    </row>
    <row r="37" spans="1:8" x14ac:dyDescent="0.2">
      <c r="A37" s="5" t="s">
        <v>37</v>
      </c>
      <c r="B37" s="5" t="s">
        <v>82</v>
      </c>
      <c r="C37" s="7">
        <f t="shared" si="4"/>
        <v>20000</v>
      </c>
      <c r="D37" s="27">
        <v>10000</v>
      </c>
      <c r="H37" s="92" t="e">
        <f t="shared" si="2"/>
        <v>#DIV/0!</v>
      </c>
    </row>
    <row r="38" spans="1:8" x14ac:dyDescent="0.2">
      <c r="A38" s="5" t="s">
        <v>37</v>
      </c>
      <c r="B38" s="5" t="s">
        <v>82</v>
      </c>
      <c r="C38" s="7">
        <f>D38</f>
        <v>35000</v>
      </c>
      <c r="D38" s="27">
        <v>35000</v>
      </c>
      <c r="E38" s="5" t="s">
        <v>362</v>
      </c>
      <c r="G38">
        <v>20</v>
      </c>
      <c r="H38" s="93">
        <f t="shared" si="2"/>
        <v>1750</v>
      </c>
    </row>
    <row r="39" spans="1:8" x14ac:dyDescent="0.2">
      <c r="A39" s="5"/>
      <c r="B39" s="5"/>
      <c r="C39" s="7"/>
      <c r="D39" s="27"/>
    </row>
    <row r="40" spans="1:8" ht="15.75" x14ac:dyDescent="0.2">
      <c r="A40" s="10" t="s">
        <v>50</v>
      </c>
      <c r="D40" s="7"/>
    </row>
    <row r="41" spans="1:8" x14ac:dyDescent="0.2">
      <c r="A41" s="5" t="s">
        <v>51</v>
      </c>
      <c r="B41" s="5" t="s">
        <v>53</v>
      </c>
      <c r="C41" s="7">
        <f t="shared" ref="C41:C46" si="5">D41*2</f>
        <v>140000</v>
      </c>
      <c r="D41" s="7">
        <v>70000</v>
      </c>
      <c r="H41" s="96" t="e">
        <f t="shared" ref="H41:H46" si="6">D41/G41</f>
        <v>#DIV/0!</v>
      </c>
    </row>
    <row r="42" spans="1:8" x14ac:dyDescent="0.2">
      <c r="A42" s="5" t="s">
        <v>51</v>
      </c>
      <c r="B42" s="5" t="s">
        <v>54</v>
      </c>
      <c r="C42" s="7">
        <f t="shared" si="5"/>
        <v>260000</v>
      </c>
      <c r="D42" s="7">
        <v>130000</v>
      </c>
      <c r="H42" s="96" t="e">
        <f t="shared" si="6"/>
        <v>#DIV/0!</v>
      </c>
    </row>
    <row r="43" spans="1:8" x14ac:dyDescent="0.2">
      <c r="A43" s="5" t="s">
        <v>35</v>
      </c>
      <c r="B43" s="5" t="s">
        <v>54</v>
      </c>
      <c r="C43" s="7">
        <f t="shared" si="5"/>
        <v>260000</v>
      </c>
      <c r="D43" s="7">
        <v>130000</v>
      </c>
      <c r="G43">
        <v>300</v>
      </c>
      <c r="H43" s="96">
        <f t="shared" si="6"/>
        <v>433.33333333333331</v>
      </c>
    </row>
    <row r="44" spans="1:8" x14ac:dyDescent="0.2">
      <c r="A44" s="5" t="s">
        <v>53</v>
      </c>
      <c r="B44" s="5" t="s">
        <v>57</v>
      </c>
      <c r="C44" s="7">
        <f t="shared" si="5"/>
        <v>190000</v>
      </c>
      <c r="D44" s="7">
        <v>95000</v>
      </c>
      <c r="E44" s="5" t="s">
        <v>58</v>
      </c>
      <c r="H44" s="96" t="e">
        <f t="shared" si="6"/>
        <v>#DIV/0!</v>
      </c>
    </row>
    <row r="45" spans="1:8" x14ac:dyDescent="0.2">
      <c r="A45" s="5" t="s">
        <v>35</v>
      </c>
      <c r="B45" s="5" t="s">
        <v>55</v>
      </c>
      <c r="C45" s="7">
        <f t="shared" si="5"/>
        <v>3000000</v>
      </c>
      <c r="D45" s="7">
        <v>1500000</v>
      </c>
      <c r="E45" s="5" t="s">
        <v>84</v>
      </c>
      <c r="H45" s="96" t="e">
        <f t="shared" si="6"/>
        <v>#DIV/0!</v>
      </c>
    </row>
    <row r="46" spans="1:8" x14ac:dyDescent="0.2">
      <c r="A46" s="5" t="s">
        <v>35</v>
      </c>
      <c r="B46" s="5" t="s">
        <v>56</v>
      </c>
      <c r="C46" s="7">
        <f t="shared" si="5"/>
        <v>1500000</v>
      </c>
      <c r="D46" s="7">
        <v>750000</v>
      </c>
      <c r="E46" s="5" t="s">
        <v>84</v>
      </c>
      <c r="H46" s="96" t="e">
        <f t="shared" si="6"/>
        <v>#DIV/0!</v>
      </c>
    </row>
    <row r="47" spans="1:8" x14ac:dyDescent="0.2">
      <c r="D47" s="7"/>
    </row>
    <row r="48" spans="1:8" x14ac:dyDescent="0.2">
      <c r="D48" s="7"/>
    </row>
    <row r="49" spans="1:6" x14ac:dyDescent="0.2">
      <c r="A49" s="5" t="s">
        <v>87</v>
      </c>
    </row>
    <row r="50" spans="1:6" x14ac:dyDescent="0.2">
      <c r="A50" s="5" t="s">
        <v>88</v>
      </c>
    </row>
    <row r="51" spans="1:6" x14ac:dyDescent="0.2">
      <c r="A51" s="28" t="s">
        <v>89</v>
      </c>
      <c r="B51" s="28"/>
      <c r="C51" s="28"/>
      <c r="D51" s="28"/>
      <c r="E51" s="28"/>
      <c r="F51" s="28">
        <f>SUM(F3:F50)</f>
        <v>0</v>
      </c>
    </row>
  </sheetData>
  <mergeCells count="2">
    <mergeCell ref="I11:J11"/>
    <mergeCell ref="I6:K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O278"/>
  <sheetViews>
    <sheetView topLeftCell="A87" workbookViewId="0">
      <selection activeCell="A69" sqref="A69:E69"/>
    </sheetView>
  </sheetViews>
  <sheetFormatPr baseColWidth="10" defaultColWidth="11.42578125" defaultRowHeight="15" x14ac:dyDescent="0.25"/>
  <cols>
    <col min="1" max="1" width="11.42578125" style="29"/>
    <col min="2" max="2" width="35.5703125" style="29" customWidth="1"/>
    <col min="3" max="3" width="22.5703125" style="29" customWidth="1"/>
    <col min="4" max="5" width="15.5703125" style="29" customWidth="1"/>
    <col min="6" max="6" width="3.140625" style="29" hidden="1" customWidth="1"/>
    <col min="7" max="7" width="2.140625" style="29" hidden="1" customWidth="1"/>
    <col min="8" max="8" width="2.85546875" style="29" hidden="1" customWidth="1"/>
    <col min="9" max="11" width="0" style="29" hidden="1" customWidth="1"/>
    <col min="12" max="12" width="14.140625" style="29" customWidth="1"/>
    <col min="13" max="13" width="32" style="29" customWidth="1"/>
    <col min="14" max="14" width="23.42578125" style="29" customWidth="1"/>
    <col min="15" max="16384" width="11.42578125" style="29"/>
  </cols>
  <sheetData>
    <row r="1" spans="1:15" ht="63" customHeight="1" x14ac:dyDescent="0.25">
      <c r="A1" s="587"/>
      <c r="B1" s="587"/>
      <c r="C1" s="588" t="s">
        <v>90</v>
      </c>
      <c r="D1" s="588"/>
      <c r="E1" s="588"/>
      <c r="M1" s="72" t="s">
        <v>377</v>
      </c>
    </row>
    <row r="2" spans="1:15" ht="22.15" customHeight="1" x14ac:dyDescent="0.25">
      <c r="A2" s="587"/>
      <c r="B2" s="587"/>
      <c r="C2" s="589" t="s">
        <v>91</v>
      </c>
      <c r="D2" s="589"/>
      <c r="E2" s="589"/>
      <c r="M2" s="86">
        <f>SUM(M3:M69)</f>
        <v>0</v>
      </c>
    </row>
    <row r="3" spans="1:15" ht="23.45" customHeight="1" x14ac:dyDescent="0.25">
      <c r="A3" s="587"/>
      <c r="B3" s="587"/>
      <c r="C3" s="30" t="s">
        <v>92</v>
      </c>
      <c r="D3" s="590" t="s">
        <v>93</v>
      </c>
      <c r="E3" s="590"/>
      <c r="M3" s="85">
        <f>SUM(M74:M121)</f>
        <v>0</v>
      </c>
      <c r="N3" s="569" t="s">
        <v>167</v>
      </c>
      <c r="O3" s="569"/>
    </row>
    <row r="4" spans="1:15" ht="23.45" customHeight="1" x14ac:dyDescent="0.25">
      <c r="A4" s="587"/>
      <c r="B4" s="587"/>
      <c r="C4" s="30" t="s">
        <v>94</v>
      </c>
      <c r="D4" s="590" t="s">
        <v>95</v>
      </c>
      <c r="E4" s="590"/>
      <c r="M4" s="85">
        <f>SUM(M126:M139)</f>
        <v>0</v>
      </c>
      <c r="N4" s="583" t="s">
        <v>219</v>
      </c>
      <c r="O4" s="555"/>
    </row>
    <row r="5" spans="1:15" ht="23.45" customHeight="1" x14ac:dyDescent="0.25">
      <c r="A5" s="587"/>
      <c r="B5" s="587"/>
      <c r="C5" s="30" t="s">
        <v>96</v>
      </c>
      <c r="D5" s="590" t="s">
        <v>96</v>
      </c>
      <c r="E5" s="590"/>
      <c r="M5" s="85">
        <f>SUM(M144:M157)</f>
        <v>0</v>
      </c>
      <c r="N5" s="583" t="s">
        <v>234</v>
      </c>
      <c r="O5" s="555"/>
    </row>
    <row r="6" spans="1:15" ht="23.45" customHeight="1" x14ac:dyDescent="0.25">
      <c r="A6" s="587"/>
      <c r="B6" s="587"/>
      <c r="C6" s="30" t="s">
        <v>97</v>
      </c>
      <c r="D6" s="590" t="s">
        <v>98</v>
      </c>
      <c r="E6" s="590"/>
      <c r="M6" s="85">
        <f>SUM(M162:M182)</f>
        <v>0</v>
      </c>
      <c r="N6" s="583" t="s">
        <v>249</v>
      </c>
      <c r="O6" s="555"/>
    </row>
    <row r="7" spans="1:15" ht="23.45" customHeight="1" x14ac:dyDescent="0.25">
      <c r="M7" s="85">
        <f>SUM(M186:M191)</f>
        <v>0</v>
      </c>
      <c r="N7" s="583" t="s">
        <v>271</v>
      </c>
      <c r="O7" s="555"/>
    </row>
    <row r="8" spans="1:15" ht="38.450000000000003" customHeight="1" x14ac:dyDescent="0.25">
      <c r="A8" s="563" t="s">
        <v>583</v>
      </c>
      <c r="B8" s="563"/>
      <c r="C8" s="563"/>
      <c r="D8" s="563"/>
      <c r="E8" s="563"/>
      <c r="I8" s="29" t="s">
        <v>99</v>
      </c>
      <c r="J8" s="31">
        <v>4.0899999999999999E-2</v>
      </c>
      <c r="M8" s="85">
        <f>SUM(M196:M202)</f>
        <v>0</v>
      </c>
      <c r="N8" s="583" t="s">
        <v>280</v>
      </c>
      <c r="O8" s="555"/>
    </row>
    <row r="9" spans="1:15" ht="43.15" customHeight="1" x14ac:dyDescent="0.25">
      <c r="A9" s="563" t="s">
        <v>100</v>
      </c>
      <c r="B9" s="563"/>
      <c r="C9" s="563"/>
      <c r="D9" s="563"/>
      <c r="E9" s="563"/>
      <c r="I9" s="29" t="s">
        <v>101</v>
      </c>
      <c r="J9" s="31">
        <v>0.19</v>
      </c>
      <c r="K9" s="32"/>
      <c r="L9" s="32"/>
      <c r="M9" s="85">
        <f>SUM(M218)</f>
        <v>0</v>
      </c>
      <c r="N9" s="583" t="s">
        <v>296</v>
      </c>
      <c r="O9" s="555"/>
    </row>
    <row r="10" spans="1:15" ht="57" hidden="1" x14ac:dyDescent="0.25">
      <c r="A10" s="570" t="s">
        <v>102</v>
      </c>
      <c r="B10" s="570"/>
      <c r="C10" s="33" t="s">
        <v>103</v>
      </c>
      <c r="D10" s="33" t="s">
        <v>104</v>
      </c>
      <c r="E10" s="33" t="s">
        <v>105</v>
      </c>
      <c r="J10" s="32"/>
      <c r="K10" s="32"/>
      <c r="M10" s="84"/>
    </row>
    <row r="11" spans="1:15" ht="25.9" hidden="1" customHeight="1" x14ac:dyDescent="0.25">
      <c r="A11" s="550" t="s">
        <v>106</v>
      </c>
      <c r="B11" s="551"/>
      <c r="C11" s="34">
        <f>ROUND('[1]2017'!B8*(1+'[1]2018'!$J$8),-2)</f>
        <v>70100</v>
      </c>
      <c r="D11" s="34">
        <f>ROUND('[1]2017'!C8*(1+'[1]2018'!$J$8),-2)</f>
        <v>584500</v>
      </c>
      <c r="E11" s="34">
        <f t="shared" ref="E11:E15" si="0">SUM(C11:D11)</f>
        <v>654600</v>
      </c>
      <c r="M11" s="84"/>
    </row>
    <row r="12" spans="1:15" hidden="1" x14ac:dyDescent="0.25">
      <c r="A12" s="550" t="s">
        <v>107</v>
      </c>
      <c r="B12" s="551"/>
      <c r="C12" s="34">
        <f>ROUND('[1]2017'!B9*(1+'[1]2018'!$J$8),-2)</f>
        <v>70100</v>
      </c>
      <c r="D12" s="34">
        <f>ROUND('[1]2017'!C9*(1+'[1]2018'!$J$8),-2)</f>
        <v>584500</v>
      </c>
      <c r="E12" s="34">
        <f t="shared" si="0"/>
        <v>654600</v>
      </c>
      <c r="M12" s="84"/>
    </row>
    <row r="13" spans="1:15" ht="25.9" hidden="1" customHeight="1" x14ac:dyDescent="0.25">
      <c r="A13" s="550" t="s">
        <v>108</v>
      </c>
      <c r="B13" s="551"/>
      <c r="C13" s="34">
        <f>ROUND('[1]2017'!B10*(1+'[1]2018'!$J$8),-2)</f>
        <v>70100</v>
      </c>
      <c r="D13" s="34">
        <f>ROUND('[1]2017'!C10*(1+'[1]2018'!$J$8),-2)</f>
        <v>584500</v>
      </c>
      <c r="E13" s="34">
        <f t="shared" si="0"/>
        <v>654600</v>
      </c>
      <c r="M13" s="84"/>
    </row>
    <row r="14" spans="1:15" hidden="1" x14ac:dyDescent="0.25">
      <c r="A14" s="550" t="s">
        <v>109</v>
      </c>
      <c r="B14" s="551"/>
      <c r="C14" s="34">
        <f>ROUND('[1]2017'!B11*(1+'[1]2018'!$J$8),-2)</f>
        <v>70100</v>
      </c>
      <c r="D14" s="34">
        <f>ROUND('[1]2017'!C11*(1+'[1]2018'!$J$8),-2)</f>
        <v>584500</v>
      </c>
      <c r="E14" s="34">
        <f t="shared" si="0"/>
        <v>654600</v>
      </c>
      <c r="M14" s="84"/>
    </row>
    <row r="15" spans="1:15" hidden="1" x14ac:dyDescent="0.25">
      <c r="A15" s="550" t="s">
        <v>110</v>
      </c>
      <c r="B15" s="551"/>
      <c r="C15" s="34">
        <f>ROUND('[1]2017'!B12*(1+'[1]2018'!$J$8),-2)</f>
        <v>70100</v>
      </c>
      <c r="D15" s="34">
        <f>ROUND('[1]2017'!C12*(1+'[1]2018'!$J$8),-2)</f>
        <v>584500</v>
      </c>
      <c r="E15" s="34">
        <f t="shared" si="0"/>
        <v>654600</v>
      </c>
      <c r="M15" s="84"/>
    </row>
    <row r="16" spans="1:15" hidden="1" x14ac:dyDescent="0.25">
      <c r="M16" s="84"/>
    </row>
    <row r="17" spans="1:13" hidden="1" x14ac:dyDescent="0.25">
      <c r="M17" s="84"/>
    </row>
    <row r="18" spans="1:13" ht="25.9" hidden="1" customHeight="1" x14ac:dyDescent="0.25">
      <c r="A18" s="570" t="s">
        <v>111</v>
      </c>
      <c r="B18" s="570"/>
      <c r="C18" s="35" t="s">
        <v>112</v>
      </c>
      <c r="D18" s="35" t="s">
        <v>113</v>
      </c>
      <c r="E18" s="35" t="s">
        <v>105</v>
      </c>
      <c r="M18" s="84"/>
    </row>
    <row r="19" spans="1:13" ht="25.9" hidden="1" customHeight="1" x14ac:dyDescent="0.25">
      <c r="A19" s="570" t="s">
        <v>114</v>
      </c>
      <c r="B19" s="570"/>
      <c r="M19" s="84"/>
    </row>
    <row r="20" spans="1:13" hidden="1" x14ac:dyDescent="0.25">
      <c r="A20" s="550" t="s">
        <v>115</v>
      </c>
      <c r="B20" s="551"/>
      <c r="C20" s="34">
        <f>ROUND('[1]2017'!B16*(1+'[1]2018'!$J$8),-2)</f>
        <v>70100</v>
      </c>
      <c r="D20" s="34">
        <f>ROUND('[1]2017'!C16*(1+'[1]2018'!$J$8),-2)</f>
        <v>233900</v>
      </c>
      <c r="E20" s="34">
        <f t="shared" ref="E20:E23" si="1">SUM(C20:D20)</f>
        <v>304000</v>
      </c>
      <c r="M20" s="84"/>
    </row>
    <row r="21" spans="1:13" hidden="1" x14ac:dyDescent="0.25">
      <c r="A21" s="550" t="s">
        <v>116</v>
      </c>
      <c r="B21" s="551"/>
      <c r="C21" s="34">
        <f>ROUND('[1]2017'!B17*(1+'[1]2018'!$J$8),-2)</f>
        <v>70100</v>
      </c>
      <c r="D21" s="34">
        <f>+D20*2</f>
        <v>467800</v>
      </c>
      <c r="E21" s="34">
        <f t="shared" si="1"/>
        <v>537900</v>
      </c>
      <c r="J21" s="32">
        <f>+D21-D20</f>
        <v>233900</v>
      </c>
      <c r="M21" s="84"/>
    </row>
    <row r="22" spans="1:13" hidden="1" x14ac:dyDescent="0.25">
      <c r="A22" s="550" t="s">
        <v>117</v>
      </c>
      <c r="B22" s="551"/>
      <c r="C22" s="34">
        <f>ROUND('[1]2017'!B18*(1+'[1]2018'!$J$8),-2)</f>
        <v>70100</v>
      </c>
      <c r="D22" s="34">
        <f>+D20*3</f>
        <v>701700</v>
      </c>
      <c r="E22" s="34">
        <f t="shared" si="1"/>
        <v>771800</v>
      </c>
      <c r="J22" s="32">
        <f>+D22-D21</f>
        <v>233900</v>
      </c>
      <c r="M22" s="84"/>
    </row>
    <row r="23" spans="1:13" hidden="1" x14ac:dyDescent="0.25">
      <c r="A23" s="550" t="s">
        <v>118</v>
      </c>
      <c r="B23" s="551"/>
      <c r="C23" s="34">
        <f>ROUND('[1]2017'!B19*(1+'[1]2018'!$J$8),-2)</f>
        <v>70100</v>
      </c>
      <c r="D23" s="34">
        <f>ROUND('[1]2017'!C19*(1+'[1]2018'!$J$8),-2)</f>
        <v>163700</v>
      </c>
      <c r="E23" s="34">
        <f t="shared" si="1"/>
        <v>233800</v>
      </c>
      <c r="M23" s="84"/>
    </row>
    <row r="24" spans="1:13" hidden="1" x14ac:dyDescent="0.25">
      <c r="A24" s="550" t="s">
        <v>119</v>
      </c>
      <c r="B24" s="551"/>
      <c r="C24" s="34">
        <v>70100</v>
      </c>
      <c r="D24" s="34">
        <v>0</v>
      </c>
      <c r="E24" s="34">
        <f>SUM(C24:D24)</f>
        <v>70100</v>
      </c>
      <c r="I24" s="29" t="s">
        <v>120</v>
      </c>
      <c r="M24" s="84"/>
    </row>
    <row r="25" spans="1:13" ht="25.9" hidden="1" customHeight="1" x14ac:dyDescent="0.25">
      <c r="A25" s="550" t="s">
        <v>121</v>
      </c>
      <c r="B25" s="551"/>
      <c r="C25" s="34">
        <v>70100</v>
      </c>
      <c r="D25" s="34">
        <v>654700</v>
      </c>
      <c r="E25" s="34">
        <f>SUM(C25:D25)</f>
        <v>724800</v>
      </c>
      <c r="I25" s="29" t="s">
        <v>120</v>
      </c>
      <c r="M25" s="84"/>
    </row>
    <row r="26" spans="1:13" hidden="1" x14ac:dyDescent="0.25">
      <c r="A26" s="550" t="s">
        <v>122</v>
      </c>
      <c r="B26" s="551"/>
      <c r="C26" s="34">
        <v>70100</v>
      </c>
      <c r="D26" s="34">
        <v>163700</v>
      </c>
      <c r="E26" s="34">
        <f>SUM(C26:D26)</f>
        <v>233800</v>
      </c>
      <c r="I26" s="29" t="s">
        <v>120</v>
      </c>
      <c r="M26" s="84"/>
    </row>
    <row r="27" spans="1:13" hidden="1" x14ac:dyDescent="0.25">
      <c r="B27" s="36"/>
      <c r="E27" s="37"/>
      <c r="M27" s="84"/>
    </row>
    <row r="28" spans="1:13" ht="25.9" hidden="1" customHeight="1" x14ac:dyDescent="0.25">
      <c r="A28" s="558" t="s">
        <v>123</v>
      </c>
      <c r="B28" s="559"/>
      <c r="C28" s="559"/>
      <c r="D28" s="559"/>
      <c r="E28" s="560"/>
      <c r="I28" s="29" t="s">
        <v>124</v>
      </c>
      <c r="M28" s="84"/>
    </row>
    <row r="29" spans="1:13" ht="25.9" hidden="1" customHeight="1" x14ac:dyDescent="0.25">
      <c r="A29" s="558" t="s">
        <v>125</v>
      </c>
      <c r="B29" s="559"/>
      <c r="C29" s="559"/>
      <c r="D29" s="559"/>
      <c r="E29" s="560"/>
      <c r="I29" s="29" t="s">
        <v>124</v>
      </c>
      <c r="M29" s="84"/>
    </row>
    <row r="30" spans="1:13" ht="57" hidden="1" x14ac:dyDescent="0.25">
      <c r="A30" s="570" t="s">
        <v>126</v>
      </c>
      <c r="B30" s="570"/>
      <c r="C30" s="38" t="s">
        <v>103</v>
      </c>
      <c r="D30" s="38" t="s">
        <v>104</v>
      </c>
      <c r="E30" s="38" t="s">
        <v>105</v>
      </c>
      <c r="M30" s="84"/>
    </row>
    <row r="31" spans="1:13" ht="28.5" hidden="1" x14ac:dyDescent="0.25">
      <c r="A31" s="550" t="s">
        <v>127</v>
      </c>
      <c r="B31" s="551"/>
      <c r="C31" s="34">
        <f>ROUND('[1]2017'!B23*(1+'[1]2018'!$J$8),-2)</f>
        <v>187200</v>
      </c>
      <c r="D31" s="39" t="s">
        <v>128</v>
      </c>
      <c r="E31" s="39" t="s">
        <v>128</v>
      </c>
      <c r="M31" s="84"/>
    </row>
    <row r="32" spans="1:13" hidden="1" x14ac:dyDescent="0.25">
      <c r="A32" s="550" t="s">
        <v>129</v>
      </c>
      <c r="B32" s="551"/>
      <c r="C32" s="40">
        <f>ROUND('[1]2017'!B24*(1+'[1]2018'!$J$8),-2)</f>
        <v>70100</v>
      </c>
      <c r="D32" s="34">
        <f>ROUND('[1]2017'!C24*(1+'[1]2018'!$J$8),-2)</f>
        <v>584500</v>
      </c>
      <c r="E32" s="34">
        <f t="shared" ref="E32" si="2">SUM(C32:D32)</f>
        <v>654600</v>
      </c>
      <c r="M32" s="84"/>
    </row>
    <row r="33" spans="1:13" ht="25.9" hidden="1" customHeight="1" x14ac:dyDescent="0.25">
      <c r="A33" s="550" t="s">
        <v>130</v>
      </c>
      <c r="B33" s="551"/>
      <c r="C33" s="41">
        <f>ROUND('[1]2017'!B24*(1+'[1]2018'!$J$8),-2)</f>
        <v>70100</v>
      </c>
      <c r="D33" s="39" t="s">
        <v>128</v>
      </c>
      <c r="E33" s="39" t="s">
        <v>128</v>
      </c>
      <c r="M33" s="84"/>
    </row>
    <row r="34" spans="1:13" ht="28.5" hidden="1" x14ac:dyDescent="0.25">
      <c r="A34" s="550" t="s">
        <v>131</v>
      </c>
      <c r="B34" s="551"/>
      <c r="C34" s="42">
        <v>70100</v>
      </c>
      <c r="D34" s="39" t="s">
        <v>128</v>
      </c>
      <c r="E34" s="39" t="s">
        <v>128</v>
      </c>
      <c r="I34" s="29" t="s">
        <v>120</v>
      </c>
      <c r="M34" s="84"/>
    </row>
    <row r="35" spans="1:13" ht="25.9" hidden="1" customHeight="1" x14ac:dyDescent="0.25">
      <c r="A35" s="558" t="s">
        <v>132</v>
      </c>
      <c r="B35" s="559"/>
      <c r="C35" s="559"/>
      <c r="D35" s="559"/>
      <c r="E35" s="560"/>
      <c r="M35" s="84"/>
    </row>
    <row r="36" spans="1:13" hidden="1" x14ac:dyDescent="0.25">
      <c r="M36" s="84"/>
    </row>
    <row r="37" spans="1:13" ht="57" hidden="1" x14ac:dyDescent="0.25">
      <c r="A37" s="570" t="s">
        <v>133</v>
      </c>
      <c r="B37" s="570"/>
      <c r="C37" s="35" t="s">
        <v>103</v>
      </c>
      <c r="D37" s="35" t="s">
        <v>104</v>
      </c>
      <c r="E37" s="35" t="s">
        <v>105</v>
      </c>
      <c r="M37" s="84"/>
    </row>
    <row r="38" spans="1:13" hidden="1" x14ac:dyDescent="0.25">
      <c r="A38" s="550" t="s">
        <v>134</v>
      </c>
      <c r="B38" s="551"/>
      <c r="C38" s="34">
        <f>ROUND('[1]2017'!B30*(1+'[1]2018'!$J$8),-2)</f>
        <v>70100</v>
      </c>
      <c r="D38" s="34">
        <f>ROUND('[1]2017'!C30*(1+'[1]2018'!$J$8),-2)</f>
        <v>584500</v>
      </c>
      <c r="E38" s="34">
        <f>SUM(C38:D38)</f>
        <v>654600</v>
      </c>
      <c r="M38" s="84"/>
    </row>
    <row r="39" spans="1:13" hidden="1" x14ac:dyDescent="0.25">
      <c r="A39" s="550" t="s">
        <v>135</v>
      </c>
      <c r="B39" s="551"/>
      <c r="C39" s="34">
        <v>0</v>
      </c>
      <c r="D39" s="34">
        <f>ROUND('[1]2017'!C32*(1+'[1]2018'!$J$8),-2)</f>
        <v>163700</v>
      </c>
      <c r="E39" s="34">
        <f t="shared" ref="E39:E43" si="3">SUM(C39:D39)</f>
        <v>163700</v>
      </c>
      <c r="I39" s="29" t="s">
        <v>136</v>
      </c>
      <c r="M39" s="84"/>
    </row>
    <row r="40" spans="1:13" hidden="1" x14ac:dyDescent="0.25">
      <c r="A40" s="550" t="s">
        <v>137</v>
      </c>
      <c r="B40" s="551"/>
      <c r="C40" s="34">
        <f>ROUND('[1]2017'!B33*(1+'[1]2018'!$J$8),-2)</f>
        <v>70100</v>
      </c>
      <c r="D40" s="34">
        <f>ROUND('[1]2017'!C33*(1+'[1]2018'!$J$8),-2)</f>
        <v>584500</v>
      </c>
      <c r="E40" s="34">
        <f t="shared" si="3"/>
        <v>654600</v>
      </c>
      <c r="M40" s="84"/>
    </row>
    <row r="41" spans="1:13" ht="28.5" hidden="1" x14ac:dyDescent="0.25">
      <c r="A41" s="550" t="s">
        <v>138</v>
      </c>
      <c r="B41" s="551"/>
      <c r="C41" s="34">
        <f>ROUND('[1]2017'!B34*(1+'[1]2018'!$J$8),-2)</f>
        <v>70100</v>
      </c>
      <c r="D41" s="39" t="s">
        <v>139</v>
      </c>
      <c r="E41" s="39" t="s">
        <v>139</v>
      </c>
      <c r="M41" s="84"/>
    </row>
    <row r="42" spans="1:13" ht="25.9" hidden="1" customHeight="1" x14ac:dyDescent="0.25">
      <c r="A42" s="550" t="s">
        <v>140</v>
      </c>
      <c r="B42" s="551"/>
      <c r="C42" s="34">
        <v>70100</v>
      </c>
      <c r="D42" s="34">
        <v>584500</v>
      </c>
      <c r="E42" s="34">
        <f t="shared" si="3"/>
        <v>654600</v>
      </c>
      <c r="I42" s="29" t="s">
        <v>120</v>
      </c>
      <c r="M42" s="84"/>
    </row>
    <row r="43" spans="1:13" ht="25.9" hidden="1" customHeight="1" x14ac:dyDescent="0.25">
      <c r="A43" s="550" t="s">
        <v>141</v>
      </c>
      <c r="B43" s="551"/>
      <c r="C43" s="34">
        <f>ROUND('[1]2017'!B35*(1+'[1]2018'!$J$8),-2)</f>
        <v>70100</v>
      </c>
      <c r="D43" s="34">
        <f>ROUND('[1]2017'!C35*(1+'[1]2018'!$J$8),-2)</f>
        <v>584500</v>
      </c>
      <c r="E43" s="34">
        <f t="shared" si="3"/>
        <v>654600</v>
      </c>
      <c r="M43" s="84"/>
    </row>
    <row r="44" spans="1:13" ht="25.9" hidden="1" customHeight="1" x14ac:dyDescent="0.25">
      <c r="A44" s="558" t="s">
        <v>142</v>
      </c>
      <c r="B44" s="559"/>
      <c r="C44" s="559"/>
      <c r="D44" s="559"/>
      <c r="E44" s="560"/>
      <c r="M44" s="84"/>
    </row>
    <row r="45" spans="1:13" hidden="1" x14ac:dyDescent="0.25">
      <c r="M45" s="84"/>
    </row>
    <row r="46" spans="1:13" ht="57" hidden="1" x14ac:dyDescent="0.25">
      <c r="A46" s="570" t="s">
        <v>143</v>
      </c>
      <c r="B46" s="570"/>
      <c r="C46" s="35" t="s">
        <v>103</v>
      </c>
      <c r="D46" s="35" t="s">
        <v>104</v>
      </c>
      <c r="E46" s="35" t="s">
        <v>105</v>
      </c>
      <c r="M46" s="84"/>
    </row>
    <row r="47" spans="1:13" ht="28.5" hidden="1" x14ac:dyDescent="0.25">
      <c r="A47" s="550" t="s">
        <v>144</v>
      </c>
      <c r="B47" s="551"/>
      <c r="C47" s="34">
        <f>ROUND('[1]2017'!B29*(1+'[1]2018'!$J$8),-2)</f>
        <v>0</v>
      </c>
      <c r="D47" s="39" t="s">
        <v>145</v>
      </c>
      <c r="E47" s="39" t="s">
        <v>145</v>
      </c>
      <c r="M47" s="84"/>
    </row>
    <row r="48" spans="1:13" ht="25.9" hidden="1" customHeight="1" x14ac:dyDescent="0.25">
      <c r="A48" s="558" t="s">
        <v>146</v>
      </c>
      <c r="B48" s="559"/>
      <c r="C48" s="559"/>
      <c r="D48" s="559"/>
      <c r="E48" s="560"/>
      <c r="I48" s="29" t="s">
        <v>147</v>
      </c>
      <c r="M48" s="84"/>
    </row>
    <row r="49" spans="1:13" hidden="1" x14ac:dyDescent="0.25">
      <c r="M49" s="84"/>
    </row>
    <row r="50" spans="1:13" hidden="1" x14ac:dyDescent="0.25">
      <c r="M50" s="84"/>
    </row>
    <row r="51" spans="1:13" ht="57" hidden="1" x14ac:dyDescent="0.25">
      <c r="A51" s="570" t="s">
        <v>148</v>
      </c>
      <c r="B51" s="570"/>
      <c r="C51" s="35" t="s">
        <v>103</v>
      </c>
      <c r="D51" s="35" t="s">
        <v>104</v>
      </c>
      <c r="E51" s="35" t="s">
        <v>105</v>
      </c>
      <c r="M51" s="84"/>
    </row>
    <row r="52" spans="1:13" hidden="1" x14ac:dyDescent="0.25">
      <c r="A52" s="550" t="s">
        <v>149</v>
      </c>
      <c r="B52" s="551"/>
      <c r="C52" s="34">
        <f>ROUND('[1]2017'!B40*(1+'[1]2018'!$J$8),-2)</f>
        <v>0</v>
      </c>
      <c r="D52" s="34">
        <v>163700</v>
      </c>
      <c r="E52" s="34">
        <f t="shared" ref="E52" si="4">SUM(C52:D52)</f>
        <v>163700</v>
      </c>
      <c r="M52" s="84"/>
    </row>
    <row r="53" spans="1:13" ht="28.5" hidden="1" x14ac:dyDescent="0.25">
      <c r="A53" s="550" t="s">
        <v>150</v>
      </c>
      <c r="B53" s="551"/>
      <c r="C53" s="34">
        <f>ROUND('[1]2017'!B41*(1+'[1]2018'!$J$8),-2)</f>
        <v>0</v>
      </c>
      <c r="D53" s="39" t="s">
        <v>151</v>
      </c>
      <c r="E53" s="39" t="s">
        <v>151</v>
      </c>
      <c r="M53" s="84"/>
    </row>
    <row r="54" spans="1:13" hidden="1" x14ac:dyDescent="0.25">
      <c r="A54" s="550" t="s">
        <v>152</v>
      </c>
      <c r="B54" s="551"/>
      <c r="C54" s="34">
        <f>ROUND('[1]2017'!B42*(1+'[1]2018'!$J$8),-2)</f>
        <v>0</v>
      </c>
      <c r="D54" s="34">
        <f>ROUND('[1]2017'!C42*(1+'[1]2018'!$J$8),-2)</f>
        <v>163700</v>
      </c>
      <c r="E54" s="34">
        <f t="shared" ref="E54" si="5">SUM(C54:D54)</f>
        <v>163700</v>
      </c>
      <c r="M54" s="84"/>
    </row>
    <row r="55" spans="1:13" ht="25.9" hidden="1" customHeight="1" x14ac:dyDescent="0.25">
      <c r="A55" s="558" t="s">
        <v>153</v>
      </c>
      <c r="B55" s="559"/>
      <c r="C55" s="559"/>
      <c r="D55" s="559"/>
      <c r="E55" s="560"/>
      <c r="M55" s="84"/>
    </row>
    <row r="56" spans="1:13" ht="25.9" hidden="1" customHeight="1" x14ac:dyDescent="0.25">
      <c r="A56" s="558" t="s">
        <v>154</v>
      </c>
      <c r="B56" s="559"/>
      <c r="C56" s="559"/>
      <c r="D56" s="559"/>
      <c r="E56" s="560"/>
      <c r="M56" s="84"/>
    </row>
    <row r="57" spans="1:13" ht="25.9" hidden="1" customHeight="1" x14ac:dyDescent="0.25">
      <c r="A57" s="558" t="s">
        <v>155</v>
      </c>
      <c r="B57" s="559"/>
      <c r="C57" s="559"/>
      <c r="D57" s="559"/>
      <c r="E57" s="560"/>
      <c r="M57" s="84"/>
    </row>
    <row r="58" spans="1:13" hidden="1" x14ac:dyDescent="0.25">
      <c r="B58" s="572"/>
      <c r="C58" s="572"/>
      <c r="D58" s="572"/>
      <c r="E58" s="572"/>
      <c r="M58" s="84"/>
    </row>
    <row r="59" spans="1:13" hidden="1" x14ac:dyDescent="0.25">
      <c r="A59" s="567" t="s">
        <v>156</v>
      </c>
      <c r="B59" s="567"/>
      <c r="C59" s="567"/>
      <c r="D59" s="567"/>
      <c r="E59" s="567"/>
      <c r="M59" s="84"/>
    </row>
    <row r="60" spans="1:13" hidden="1" x14ac:dyDescent="0.25">
      <c r="B60" s="573"/>
      <c r="C60" s="573"/>
      <c r="D60" s="573"/>
      <c r="E60" s="573"/>
      <c r="M60" s="84"/>
    </row>
    <row r="61" spans="1:13" hidden="1" x14ac:dyDescent="0.25">
      <c r="A61" s="574" t="s">
        <v>157</v>
      </c>
      <c r="B61" s="575"/>
      <c r="C61" s="575"/>
      <c r="D61" s="576"/>
      <c r="E61" s="43" t="s">
        <v>158</v>
      </c>
      <c r="M61" s="84"/>
    </row>
    <row r="62" spans="1:13" hidden="1" x14ac:dyDescent="0.25">
      <c r="A62" s="571" t="s">
        <v>159</v>
      </c>
      <c r="B62" s="571"/>
      <c r="C62" s="571"/>
      <c r="D62" s="571"/>
      <c r="E62" s="41">
        <f>ROUND('[1]2017'!D49*(1+'[1]2018'!$J$8),-2)</f>
        <v>7900</v>
      </c>
      <c r="M62" s="84"/>
    </row>
    <row r="63" spans="1:13" hidden="1" x14ac:dyDescent="0.25">
      <c r="A63" s="571" t="s">
        <v>160</v>
      </c>
      <c r="B63" s="571"/>
      <c r="C63" s="571"/>
      <c r="D63" s="571"/>
      <c r="E63" s="41">
        <f>ROUND('[1]2017'!D50*(1+'[1]2018'!$J$8),-2)</f>
        <v>18800</v>
      </c>
      <c r="M63" s="84"/>
    </row>
    <row r="64" spans="1:13" hidden="1" x14ac:dyDescent="0.25">
      <c r="A64" s="571" t="s">
        <v>161</v>
      </c>
      <c r="B64" s="571"/>
      <c r="C64" s="571"/>
      <c r="D64" s="571"/>
      <c r="E64" s="41">
        <f>ROUND('[1]2017'!D51*(1+'[1]2018'!$J$8),-2)</f>
        <v>24300</v>
      </c>
      <c r="M64" s="84"/>
    </row>
    <row r="65" spans="1:15" hidden="1" x14ac:dyDescent="0.25">
      <c r="A65" s="571" t="s">
        <v>162</v>
      </c>
      <c r="B65" s="571"/>
      <c r="C65" s="571"/>
      <c r="D65" s="571"/>
      <c r="E65" s="41">
        <f>ROUND('[1]2017'!D52*(1+'[1]2018'!$J$8),-2)</f>
        <v>34000</v>
      </c>
      <c r="M65" s="84"/>
    </row>
    <row r="66" spans="1:15" hidden="1" x14ac:dyDescent="0.25">
      <c r="A66" s="571" t="s">
        <v>163</v>
      </c>
      <c r="B66" s="571"/>
      <c r="C66" s="571"/>
      <c r="D66" s="571"/>
      <c r="E66" s="41">
        <f>ROUND('[1]2017'!D53*(1+'[1]2018'!$J$8),-2)</f>
        <v>34000</v>
      </c>
      <c r="M66" s="84"/>
    </row>
    <row r="67" spans="1:15" ht="25.9" hidden="1" customHeight="1" x14ac:dyDescent="0.25">
      <c r="A67" s="566" t="s">
        <v>164</v>
      </c>
      <c r="B67" s="566"/>
      <c r="C67" s="566"/>
      <c r="D67" s="566"/>
      <c r="E67" s="566"/>
      <c r="M67" s="84"/>
    </row>
    <row r="68" spans="1:15" ht="25.9" hidden="1" customHeight="1" x14ac:dyDescent="0.25">
      <c r="A68" s="566" t="s">
        <v>165</v>
      </c>
      <c r="B68" s="566"/>
      <c r="C68" s="566"/>
      <c r="D68" s="566"/>
      <c r="E68" s="566"/>
      <c r="I68" s="34"/>
      <c r="J68" s="34"/>
      <c r="M68" s="84"/>
    </row>
    <row r="69" spans="1:15" ht="39.6" customHeight="1" x14ac:dyDescent="0.25">
      <c r="A69" s="566"/>
      <c r="B69" s="566"/>
      <c r="C69" s="566"/>
      <c r="D69" s="566"/>
      <c r="E69" s="566"/>
      <c r="M69" s="85">
        <f>SUM(M263:M267)</f>
        <v>0</v>
      </c>
      <c r="N69" s="584" t="s">
        <v>373</v>
      </c>
      <c r="O69" s="585"/>
    </row>
    <row r="70" spans="1:15" ht="22.9" customHeight="1" x14ac:dyDescent="0.25"/>
    <row r="71" spans="1:15" x14ac:dyDescent="0.25">
      <c r="A71" s="567" t="s">
        <v>166</v>
      </c>
      <c r="B71" s="567"/>
      <c r="C71" s="567"/>
      <c r="D71" s="567"/>
      <c r="E71" s="567"/>
    </row>
    <row r="72" spans="1:15" ht="28.5" customHeight="1" x14ac:dyDescent="0.25">
      <c r="A72" s="568" t="s">
        <v>167</v>
      </c>
      <c r="B72" s="569"/>
      <c r="C72" s="35"/>
      <c r="D72" s="35"/>
      <c r="E72" s="35"/>
    </row>
    <row r="73" spans="1:15" ht="69.599999999999994" customHeight="1" x14ac:dyDescent="0.25">
      <c r="A73" s="570" t="s">
        <v>168</v>
      </c>
      <c r="B73" s="570"/>
      <c r="C73" s="38" t="s">
        <v>169</v>
      </c>
      <c r="D73" s="38" t="s">
        <v>170</v>
      </c>
      <c r="E73" s="38" t="s">
        <v>71</v>
      </c>
      <c r="L73" s="67" t="s">
        <v>372</v>
      </c>
      <c r="M73" s="67" t="s">
        <v>376</v>
      </c>
    </row>
    <row r="74" spans="1:15" x14ac:dyDescent="0.25">
      <c r="A74" s="553" t="s">
        <v>171</v>
      </c>
      <c r="B74" s="553"/>
      <c r="C74" s="34">
        <v>9538</v>
      </c>
      <c r="D74" s="45">
        <v>1812.22</v>
      </c>
      <c r="E74" s="46">
        <v>11400</v>
      </c>
      <c r="I74" s="47"/>
      <c r="J74" s="48"/>
      <c r="K74" s="32"/>
      <c r="L74" s="212"/>
      <c r="M74" s="76" t="str">
        <f>IF(L74="X",E74,"")</f>
        <v/>
      </c>
    </row>
    <row r="75" spans="1:15" ht="15" customHeight="1" x14ac:dyDescent="0.25">
      <c r="A75" s="553" t="s">
        <v>172</v>
      </c>
      <c r="B75" s="553"/>
      <c r="C75" s="34">
        <v>9451</v>
      </c>
      <c r="D75" s="45">
        <v>1795.69</v>
      </c>
      <c r="E75" s="46">
        <v>11200</v>
      </c>
      <c r="I75" s="47"/>
      <c r="J75" s="48"/>
      <c r="K75" s="32"/>
      <c r="L75" s="212"/>
      <c r="M75" s="76" t="str">
        <f t="shared" ref="M75:M121" si="6">IF(L75="X",E75,"")</f>
        <v/>
      </c>
    </row>
    <row r="76" spans="1:15" ht="15" customHeight="1" x14ac:dyDescent="0.25">
      <c r="A76" s="553" t="s">
        <v>173</v>
      </c>
      <c r="B76" s="553"/>
      <c r="C76" s="34">
        <v>9451</v>
      </c>
      <c r="D76" s="45">
        <v>1795.69</v>
      </c>
      <c r="E76" s="46">
        <v>11200</v>
      </c>
      <c r="I76" s="47"/>
      <c r="J76" s="48"/>
      <c r="K76" s="32"/>
      <c r="L76" s="212"/>
      <c r="M76" s="76" t="str">
        <f t="shared" si="6"/>
        <v/>
      </c>
    </row>
    <row r="77" spans="1:15" ht="15" customHeight="1" x14ac:dyDescent="0.25">
      <c r="A77" s="553" t="s">
        <v>174</v>
      </c>
      <c r="B77" s="553"/>
      <c r="C77" s="34">
        <v>9451</v>
      </c>
      <c r="D77" s="45">
        <v>1795.69</v>
      </c>
      <c r="E77" s="46">
        <v>11200</v>
      </c>
      <c r="I77" s="47"/>
      <c r="J77" s="48"/>
      <c r="K77" s="32"/>
      <c r="L77" s="212"/>
      <c r="M77" s="76" t="str">
        <f t="shared" si="6"/>
        <v/>
      </c>
    </row>
    <row r="78" spans="1:15" ht="15" customHeight="1" x14ac:dyDescent="0.25">
      <c r="A78" s="553" t="s">
        <v>175</v>
      </c>
      <c r="B78" s="553"/>
      <c r="C78" s="34">
        <v>19856</v>
      </c>
      <c r="D78" s="45">
        <v>3772.64</v>
      </c>
      <c r="E78" s="46">
        <v>23600</v>
      </c>
      <c r="I78" s="47"/>
      <c r="J78" s="48"/>
      <c r="K78" s="32"/>
      <c r="L78" s="212"/>
      <c r="M78" s="76" t="str">
        <f t="shared" si="6"/>
        <v/>
      </c>
    </row>
    <row r="79" spans="1:15" ht="15" customHeight="1" x14ac:dyDescent="0.25">
      <c r="A79" s="553" t="s">
        <v>176</v>
      </c>
      <c r="B79" s="553"/>
      <c r="C79" s="34">
        <v>12312</v>
      </c>
      <c r="D79" s="45">
        <v>2339.2800000000002</v>
      </c>
      <c r="E79" s="46">
        <v>14700</v>
      </c>
      <c r="I79" s="47"/>
      <c r="J79" s="48"/>
      <c r="K79" s="32"/>
      <c r="L79" s="212"/>
      <c r="M79" s="76" t="str">
        <f t="shared" si="6"/>
        <v/>
      </c>
    </row>
    <row r="80" spans="1:15" ht="15" customHeight="1" x14ac:dyDescent="0.25">
      <c r="A80" s="553" t="s">
        <v>177</v>
      </c>
      <c r="B80" s="553"/>
      <c r="C80" s="34">
        <v>12312</v>
      </c>
      <c r="D80" s="45">
        <v>2339.2800000000002</v>
      </c>
      <c r="E80" s="46">
        <v>14700</v>
      </c>
      <c r="I80" s="47"/>
      <c r="J80" s="48"/>
      <c r="K80" s="32"/>
      <c r="L80" s="212"/>
      <c r="M80" s="76" t="str">
        <f t="shared" si="6"/>
        <v/>
      </c>
    </row>
    <row r="81" spans="1:13" ht="15" customHeight="1" x14ac:dyDescent="0.25">
      <c r="A81" s="553" t="s">
        <v>178</v>
      </c>
      <c r="B81" s="553"/>
      <c r="C81" s="34">
        <v>13179</v>
      </c>
      <c r="D81" s="45">
        <v>2504.0100000000002</v>
      </c>
      <c r="E81" s="46">
        <v>15700</v>
      </c>
      <c r="I81" s="47"/>
      <c r="J81" s="48"/>
      <c r="K81" s="32"/>
      <c r="L81" s="212"/>
      <c r="M81" s="76" t="str">
        <f t="shared" si="6"/>
        <v/>
      </c>
    </row>
    <row r="82" spans="1:13" ht="15" customHeight="1" x14ac:dyDescent="0.25">
      <c r="A82" s="553" t="s">
        <v>179</v>
      </c>
      <c r="B82" s="553"/>
      <c r="C82" s="34">
        <v>56012</v>
      </c>
      <c r="D82" s="45">
        <v>10642.28</v>
      </c>
      <c r="E82" s="46">
        <v>66700</v>
      </c>
      <c r="I82" s="47"/>
      <c r="J82" s="48"/>
      <c r="K82" s="32"/>
      <c r="L82" s="212"/>
      <c r="M82" s="76" t="str">
        <f t="shared" si="6"/>
        <v/>
      </c>
    </row>
    <row r="83" spans="1:13" ht="15" customHeight="1" x14ac:dyDescent="0.25">
      <c r="A83" s="553" t="s">
        <v>180</v>
      </c>
      <c r="B83" s="553"/>
      <c r="C83" s="34">
        <v>61128</v>
      </c>
      <c r="D83" s="45">
        <v>11614.32</v>
      </c>
      <c r="E83" s="46">
        <v>72700</v>
      </c>
      <c r="I83" s="47"/>
      <c r="J83" s="48"/>
      <c r="K83" s="32"/>
      <c r="L83" s="212"/>
      <c r="M83" s="76" t="str">
        <f t="shared" si="6"/>
        <v/>
      </c>
    </row>
    <row r="84" spans="1:13" ht="15" customHeight="1" x14ac:dyDescent="0.25">
      <c r="A84" s="553" t="s">
        <v>181</v>
      </c>
      <c r="B84" s="553"/>
      <c r="C84" s="34">
        <v>14914</v>
      </c>
      <c r="D84" s="45">
        <v>2833.66</v>
      </c>
      <c r="E84" s="46">
        <v>17700</v>
      </c>
      <c r="I84" s="47"/>
      <c r="J84" s="48"/>
      <c r="K84" s="32"/>
      <c r="L84" s="212"/>
      <c r="M84" s="76" t="str">
        <f t="shared" si="6"/>
        <v/>
      </c>
    </row>
    <row r="85" spans="1:13" ht="15" customHeight="1" x14ac:dyDescent="0.25">
      <c r="A85" s="553" t="s">
        <v>182</v>
      </c>
      <c r="B85" s="553"/>
      <c r="C85" s="34">
        <v>14914</v>
      </c>
      <c r="D85" s="45">
        <v>2833.66</v>
      </c>
      <c r="E85" s="46">
        <v>17700</v>
      </c>
      <c r="I85" s="47"/>
      <c r="J85" s="48"/>
      <c r="K85" s="32"/>
      <c r="L85" s="212"/>
      <c r="M85" s="76" t="str">
        <f t="shared" si="6"/>
        <v/>
      </c>
    </row>
    <row r="86" spans="1:13" ht="15" customHeight="1" x14ac:dyDescent="0.25">
      <c r="A86" s="553" t="s">
        <v>183</v>
      </c>
      <c r="B86" s="553"/>
      <c r="C86" s="34">
        <v>8150</v>
      </c>
      <c r="D86" s="45">
        <v>1548.5</v>
      </c>
      <c r="E86" s="46">
        <v>9700</v>
      </c>
      <c r="I86" s="47"/>
      <c r="J86" s="48"/>
      <c r="K86" s="32"/>
      <c r="L86" s="212"/>
      <c r="M86" s="76" t="str">
        <f t="shared" si="6"/>
        <v/>
      </c>
    </row>
    <row r="87" spans="1:13" ht="15" customHeight="1" x14ac:dyDescent="0.25">
      <c r="A87" s="553" t="s">
        <v>184</v>
      </c>
      <c r="B87" s="553"/>
      <c r="C87" s="34">
        <v>8150</v>
      </c>
      <c r="D87" s="45">
        <v>1548.5</v>
      </c>
      <c r="E87" s="46">
        <v>9700</v>
      </c>
      <c r="I87" s="47"/>
      <c r="J87" s="48"/>
      <c r="K87" s="32"/>
      <c r="L87" s="212"/>
      <c r="M87" s="76" t="str">
        <f t="shared" si="6"/>
        <v/>
      </c>
    </row>
    <row r="88" spans="1:13" ht="15" customHeight="1" x14ac:dyDescent="0.25">
      <c r="A88" s="553" t="s">
        <v>185</v>
      </c>
      <c r="B88" s="553"/>
      <c r="C88" s="34">
        <v>13179</v>
      </c>
      <c r="D88" s="45">
        <v>2504.0100000000002</v>
      </c>
      <c r="E88" s="46">
        <v>15700</v>
      </c>
      <c r="I88" s="47"/>
      <c r="J88" s="48"/>
      <c r="K88" s="32"/>
      <c r="L88" s="212"/>
      <c r="M88" s="76" t="str">
        <f t="shared" si="6"/>
        <v/>
      </c>
    </row>
    <row r="89" spans="1:13" ht="15" customHeight="1" x14ac:dyDescent="0.25">
      <c r="A89" s="553" t="s">
        <v>186</v>
      </c>
      <c r="B89" s="553"/>
      <c r="C89" s="34">
        <v>13179</v>
      </c>
      <c r="D89" s="45">
        <v>2504.0100000000002</v>
      </c>
      <c r="E89" s="46">
        <v>15700</v>
      </c>
      <c r="I89" s="47"/>
      <c r="J89" s="48"/>
      <c r="K89" s="32"/>
      <c r="L89" s="212"/>
      <c r="M89" s="76" t="str">
        <f t="shared" si="6"/>
        <v/>
      </c>
    </row>
    <row r="90" spans="1:13" ht="15" customHeight="1" x14ac:dyDescent="0.25">
      <c r="A90" s="553" t="s">
        <v>187</v>
      </c>
      <c r="B90" s="553"/>
      <c r="C90" s="34">
        <v>13179</v>
      </c>
      <c r="D90" s="45">
        <v>2504.0100000000002</v>
      </c>
      <c r="E90" s="46">
        <v>15700</v>
      </c>
      <c r="I90" s="47"/>
      <c r="J90" s="48"/>
      <c r="K90" s="32"/>
      <c r="L90" s="212"/>
      <c r="M90" s="76" t="str">
        <f t="shared" si="6"/>
        <v/>
      </c>
    </row>
    <row r="91" spans="1:13" ht="15" customHeight="1" x14ac:dyDescent="0.25">
      <c r="A91" s="553" t="s">
        <v>188</v>
      </c>
      <c r="B91" s="553"/>
      <c r="C91" s="34">
        <v>43786</v>
      </c>
      <c r="D91" s="45">
        <v>8319.34</v>
      </c>
      <c r="E91" s="46">
        <v>52100</v>
      </c>
      <c r="I91" s="47"/>
      <c r="J91" s="48"/>
      <c r="K91" s="32"/>
      <c r="L91" s="212"/>
      <c r="M91" s="76" t="str">
        <f t="shared" si="6"/>
        <v/>
      </c>
    </row>
    <row r="92" spans="1:13" ht="15" customHeight="1" x14ac:dyDescent="0.25">
      <c r="A92" s="553" t="s">
        <v>189</v>
      </c>
      <c r="B92" s="553"/>
      <c r="C92" s="34">
        <v>46561</v>
      </c>
      <c r="D92" s="45">
        <v>8846.59</v>
      </c>
      <c r="E92" s="46">
        <v>55400</v>
      </c>
      <c r="I92" s="47"/>
      <c r="J92" s="48"/>
      <c r="K92" s="32"/>
      <c r="L92" s="212"/>
      <c r="M92" s="76" t="str">
        <f t="shared" si="6"/>
        <v/>
      </c>
    </row>
    <row r="93" spans="1:13" ht="15" customHeight="1" x14ac:dyDescent="0.25">
      <c r="A93" s="553" t="s">
        <v>190</v>
      </c>
      <c r="B93" s="553"/>
      <c r="C93" s="34">
        <v>46561</v>
      </c>
      <c r="D93" s="45">
        <v>8846.59</v>
      </c>
      <c r="E93" s="46">
        <v>55400</v>
      </c>
      <c r="I93" s="47"/>
      <c r="J93" s="48"/>
      <c r="K93" s="32"/>
      <c r="L93" s="212"/>
      <c r="M93" s="76" t="str">
        <f t="shared" si="6"/>
        <v/>
      </c>
    </row>
    <row r="94" spans="1:13" ht="15" customHeight="1" x14ac:dyDescent="0.25">
      <c r="A94" s="553" t="s">
        <v>191</v>
      </c>
      <c r="B94" s="553"/>
      <c r="C94" s="34">
        <v>46561</v>
      </c>
      <c r="D94" s="45">
        <v>8846.59</v>
      </c>
      <c r="E94" s="46">
        <v>55400</v>
      </c>
      <c r="I94" s="47"/>
      <c r="J94" s="48"/>
      <c r="K94" s="32"/>
      <c r="L94" s="212"/>
      <c r="M94" s="76" t="str">
        <f t="shared" si="6"/>
        <v/>
      </c>
    </row>
    <row r="95" spans="1:13" ht="15" customHeight="1" x14ac:dyDescent="0.25">
      <c r="A95" s="553" t="s">
        <v>192</v>
      </c>
      <c r="B95" s="553"/>
      <c r="C95" s="34">
        <v>12312</v>
      </c>
      <c r="D95" s="45">
        <v>2339.2800000000002</v>
      </c>
      <c r="E95" s="46">
        <v>14700</v>
      </c>
      <c r="I95" s="47"/>
      <c r="J95" s="48"/>
      <c r="K95" s="32"/>
      <c r="L95" s="212"/>
      <c r="M95" s="76" t="str">
        <f t="shared" si="6"/>
        <v/>
      </c>
    </row>
    <row r="96" spans="1:13" ht="15" customHeight="1" x14ac:dyDescent="0.25">
      <c r="A96" s="553" t="s">
        <v>193</v>
      </c>
      <c r="B96" s="553"/>
      <c r="C96" s="34">
        <v>12312</v>
      </c>
      <c r="D96" s="45">
        <v>2339.2800000000002</v>
      </c>
      <c r="E96" s="46">
        <v>14700</v>
      </c>
      <c r="I96" s="47"/>
      <c r="J96" s="48"/>
      <c r="K96" s="32"/>
      <c r="L96" s="212"/>
      <c r="M96" s="76" t="str">
        <f t="shared" si="6"/>
        <v/>
      </c>
    </row>
    <row r="97" spans="1:13" ht="15" customHeight="1" x14ac:dyDescent="0.25">
      <c r="A97" s="553" t="s">
        <v>194</v>
      </c>
      <c r="B97" s="553"/>
      <c r="C97" s="34">
        <v>12312</v>
      </c>
      <c r="D97" s="45">
        <v>2339.2800000000002</v>
      </c>
      <c r="E97" s="46">
        <v>14700</v>
      </c>
      <c r="I97" s="47"/>
      <c r="J97" s="48"/>
      <c r="K97" s="32"/>
      <c r="L97" s="212"/>
      <c r="M97" s="76" t="str">
        <f t="shared" si="6"/>
        <v/>
      </c>
    </row>
    <row r="98" spans="1:13" ht="15" customHeight="1" x14ac:dyDescent="0.25">
      <c r="A98" s="553" t="s">
        <v>195</v>
      </c>
      <c r="B98" s="553"/>
      <c r="C98" s="34">
        <v>24625</v>
      </c>
      <c r="D98" s="45">
        <v>4678.75</v>
      </c>
      <c r="E98" s="46">
        <v>29300</v>
      </c>
      <c r="I98" s="47"/>
      <c r="J98" s="48"/>
      <c r="K98" s="32"/>
      <c r="L98" s="212"/>
      <c r="M98" s="76" t="str">
        <f t="shared" si="6"/>
        <v/>
      </c>
    </row>
    <row r="99" spans="1:13" ht="15" customHeight="1" x14ac:dyDescent="0.25">
      <c r="A99" s="553" t="s">
        <v>196</v>
      </c>
      <c r="B99" s="553"/>
      <c r="C99" s="34">
        <v>59654</v>
      </c>
      <c r="D99" s="45">
        <v>11334.26</v>
      </c>
      <c r="E99" s="46">
        <v>71000</v>
      </c>
      <c r="I99" s="47"/>
      <c r="J99" s="48"/>
      <c r="K99" s="32"/>
      <c r="L99" s="212"/>
      <c r="M99" s="76" t="str">
        <f t="shared" si="6"/>
        <v/>
      </c>
    </row>
    <row r="100" spans="1:13" ht="15" customHeight="1" x14ac:dyDescent="0.25">
      <c r="A100" s="553" t="s">
        <v>197</v>
      </c>
      <c r="B100" s="553"/>
      <c r="C100" s="34">
        <v>59654</v>
      </c>
      <c r="D100" s="45">
        <v>11334.26</v>
      </c>
      <c r="E100" s="46">
        <v>71000</v>
      </c>
      <c r="I100" s="47"/>
      <c r="J100" s="48"/>
      <c r="K100" s="32"/>
      <c r="L100" s="212"/>
      <c r="M100" s="76" t="str">
        <f t="shared" si="6"/>
        <v/>
      </c>
    </row>
    <row r="101" spans="1:13" ht="15" customHeight="1" x14ac:dyDescent="0.25">
      <c r="A101" s="553" t="s">
        <v>198</v>
      </c>
      <c r="B101" s="553"/>
      <c r="C101" s="34">
        <v>12312</v>
      </c>
      <c r="D101" s="45">
        <v>2339.2800000000002</v>
      </c>
      <c r="E101" s="46">
        <v>14700</v>
      </c>
      <c r="I101" s="47"/>
      <c r="J101" s="48"/>
      <c r="K101" s="32"/>
      <c r="L101" s="212"/>
      <c r="M101" s="76" t="str">
        <f t="shared" si="6"/>
        <v/>
      </c>
    </row>
    <row r="102" spans="1:13" ht="15" customHeight="1" x14ac:dyDescent="0.25">
      <c r="A102" s="553" t="s">
        <v>199</v>
      </c>
      <c r="B102" s="553"/>
      <c r="C102" s="34">
        <v>13179</v>
      </c>
      <c r="D102" s="45">
        <v>2504.0100000000002</v>
      </c>
      <c r="E102" s="46">
        <v>15700</v>
      </c>
      <c r="I102" s="47"/>
      <c r="J102" s="48"/>
      <c r="K102" s="32"/>
      <c r="L102" s="212"/>
      <c r="M102" s="76" t="str">
        <f t="shared" si="6"/>
        <v/>
      </c>
    </row>
    <row r="103" spans="1:13" ht="15" customHeight="1" x14ac:dyDescent="0.25">
      <c r="A103" s="553" t="s">
        <v>200</v>
      </c>
      <c r="B103" s="553"/>
      <c r="C103" s="34">
        <v>56012</v>
      </c>
      <c r="D103" s="45">
        <v>10642.28</v>
      </c>
      <c r="E103" s="46">
        <v>66700</v>
      </c>
      <c r="I103" s="47"/>
      <c r="J103" s="48"/>
      <c r="K103" s="32"/>
      <c r="L103" s="212"/>
      <c r="M103" s="76" t="str">
        <f t="shared" si="6"/>
        <v/>
      </c>
    </row>
    <row r="104" spans="1:13" ht="15" customHeight="1" x14ac:dyDescent="0.25">
      <c r="A104" s="553" t="s">
        <v>201</v>
      </c>
      <c r="B104" s="553"/>
      <c r="C104" s="34">
        <v>23844</v>
      </c>
      <c r="D104" s="45">
        <v>4530.3599999999997</v>
      </c>
      <c r="E104" s="46">
        <v>28400</v>
      </c>
      <c r="I104" s="47"/>
      <c r="J104" s="48"/>
      <c r="K104" s="32"/>
      <c r="L104" s="212"/>
      <c r="M104" s="76" t="str">
        <f t="shared" si="6"/>
        <v/>
      </c>
    </row>
    <row r="105" spans="1:13" ht="15" customHeight="1" x14ac:dyDescent="0.25">
      <c r="A105" s="553" t="s">
        <v>202</v>
      </c>
      <c r="B105" s="553"/>
      <c r="C105" s="34">
        <v>12312</v>
      </c>
      <c r="D105" s="45">
        <v>2339.2800000000002</v>
      </c>
      <c r="E105" s="46">
        <v>14700</v>
      </c>
      <c r="I105" s="47"/>
      <c r="J105" s="48"/>
      <c r="K105" s="32"/>
      <c r="L105" s="212"/>
      <c r="M105" s="76" t="str">
        <f t="shared" si="6"/>
        <v/>
      </c>
    </row>
    <row r="106" spans="1:13" ht="15" customHeight="1" x14ac:dyDescent="0.25">
      <c r="A106" s="553" t="s">
        <v>203</v>
      </c>
      <c r="B106" s="553"/>
      <c r="C106" s="34">
        <v>9538</v>
      </c>
      <c r="D106" s="45">
        <v>1812.22</v>
      </c>
      <c r="E106" s="46">
        <v>11400</v>
      </c>
      <c r="I106" s="47"/>
      <c r="J106" s="48"/>
      <c r="K106" s="32"/>
      <c r="L106" s="212"/>
      <c r="M106" s="76" t="str">
        <f t="shared" si="6"/>
        <v/>
      </c>
    </row>
    <row r="107" spans="1:13" ht="15" customHeight="1" x14ac:dyDescent="0.25">
      <c r="A107" s="553" t="s">
        <v>204</v>
      </c>
      <c r="B107" s="553"/>
      <c r="C107" s="34">
        <v>12312</v>
      </c>
      <c r="D107" s="45">
        <v>2339.2800000000002</v>
      </c>
      <c r="E107" s="46">
        <v>14700</v>
      </c>
      <c r="I107" s="47"/>
      <c r="J107" s="48"/>
      <c r="K107" s="32"/>
      <c r="L107" s="212"/>
      <c r="M107" s="76" t="str">
        <f t="shared" si="6"/>
        <v/>
      </c>
    </row>
    <row r="108" spans="1:13" ht="28.5" customHeight="1" x14ac:dyDescent="0.25">
      <c r="A108" s="553" t="s">
        <v>205</v>
      </c>
      <c r="B108" s="553"/>
      <c r="C108" s="34">
        <v>17688</v>
      </c>
      <c r="D108" s="45">
        <v>3360.7200000000003</v>
      </c>
      <c r="E108" s="46">
        <v>21000</v>
      </c>
      <c r="I108" s="47"/>
      <c r="J108" s="48"/>
      <c r="K108" s="32"/>
      <c r="L108" s="212"/>
      <c r="M108" s="76" t="str">
        <f t="shared" si="6"/>
        <v/>
      </c>
    </row>
    <row r="109" spans="1:13" ht="15" customHeight="1" x14ac:dyDescent="0.25">
      <c r="A109" s="553" t="s">
        <v>206</v>
      </c>
      <c r="B109" s="553"/>
      <c r="C109" s="34">
        <v>13179</v>
      </c>
      <c r="D109" s="45">
        <v>2504.0100000000002</v>
      </c>
      <c r="E109" s="46">
        <v>15700</v>
      </c>
      <c r="I109" s="47"/>
      <c r="J109" s="48"/>
      <c r="K109" s="32"/>
      <c r="L109" s="212"/>
      <c r="M109" s="76" t="str">
        <f t="shared" si="6"/>
        <v/>
      </c>
    </row>
    <row r="110" spans="1:13" ht="15" customHeight="1" x14ac:dyDescent="0.25">
      <c r="A110" s="553" t="s">
        <v>207</v>
      </c>
      <c r="B110" s="553"/>
      <c r="C110" s="34">
        <v>62948</v>
      </c>
      <c r="D110" s="45">
        <v>11960.12</v>
      </c>
      <c r="E110" s="46">
        <v>74900</v>
      </c>
      <c r="I110" s="47"/>
      <c r="J110" s="48"/>
      <c r="K110" s="32"/>
      <c r="L110" s="212"/>
      <c r="M110" s="76" t="str">
        <f t="shared" si="6"/>
        <v/>
      </c>
    </row>
    <row r="111" spans="1:13" ht="15" customHeight="1" x14ac:dyDescent="0.25">
      <c r="A111" s="553" t="s">
        <v>208</v>
      </c>
      <c r="B111" s="553"/>
      <c r="C111" s="34">
        <v>13006</v>
      </c>
      <c r="D111" s="45">
        <v>2471.14</v>
      </c>
      <c r="E111" s="46">
        <v>15500</v>
      </c>
      <c r="I111" s="47"/>
      <c r="J111" s="48"/>
      <c r="K111" s="32"/>
      <c r="L111" s="212"/>
      <c r="M111" s="76" t="str">
        <f t="shared" si="6"/>
        <v/>
      </c>
    </row>
    <row r="112" spans="1:13" ht="15" customHeight="1" x14ac:dyDescent="0.25">
      <c r="A112" s="553" t="s">
        <v>209</v>
      </c>
      <c r="B112" s="553"/>
      <c r="C112" s="34">
        <v>12312</v>
      </c>
      <c r="D112" s="45">
        <v>2339.2800000000002</v>
      </c>
      <c r="E112" s="46">
        <v>14700</v>
      </c>
      <c r="I112" s="47"/>
      <c r="J112" s="48"/>
      <c r="K112" s="32"/>
      <c r="L112" s="212"/>
      <c r="M112" s="76" t="str">
        <f t="shared" si="6"/>
        <v/>
      </c>
    </row>
    <row r="113" spans="1:13" ht="15" customHeight="1" x14ac:dyDescent="0.25">
      <c r="A113" s="553" t="s">
        <v>210</v>
      </c>
      <c r="B113" s="553"/>
      <c r="C113" s="34">
        <v>13699</v>
      </c>
      <c r="D113" s="45">
        <v>2602.81</v>
      </c>
      <c r="E113" s="46">
        <v>16300</v>
      </c>
      <c r="I113" s="47"/>
      <c r="J113" s="48"/>
      <c r="K113" s="32"/>
      <c r="L113" s="212"/>
      <c r="M113" s="76" t="str">
        <f t="shared" si="6"/>
        <v/>
      </c>
    </row>
    <row r="114" spans="1:13" ht="15" customHeight="1" x14ac:dyDescent="0.25">
      <c r="A114" s="553" t="s">
        <v>211</v>
      </c>
      <c r="B114" s="553"/>
      <c r="C114" s="34">
        <v>13699</v>
      </c>
      <c r="D114" s="45">
        <v>2602.81</v>
      </c>
      <c r="E114" s="46">
        <v>16300</v>
      </c>
      <c r="I114" s="47"/>
      <c r="J114" s="48"/>
      <c r="K114" s="32"/>
      <c r="L114" s="212"/>
      <c r="M114" s="76" t="str">
        <f t="shared" si="6"/>
        <v/>
      </c>
    </row>
    <row r="115" spans="1:13" ht="15" customHeight="1" x14ac:dyDescent="0.25">
      <c r="A115" s="553" t="s">
        <v>212</v>
      </c>
      <c r="B115" s="553"/>
      <c r="C115" s="34">
        <v>12312</v>
      </c>
      <c r="D115" s="45">
        <v>2339.2800000000002</v>
      </c>
      <c r="E115" s="46">
        <v>14700</v>
      </c>
      <c r="I115" s="47"/>
      <c r="J115" s="48"/>
      <c r="K115" s="32"/>
      <c r="L115" s="212"/>
      <c r="M115" s="76" t="str">
        <f t="shared" si="6"/>
        <v/>
      </c>
    </row>
    <row r="116" spans="1:13" ht="15" customHeight="1" x14ac:dyDescent="0.25">
      <c r="A116" s="553" t="s">
        <v>213</v>
      </c>
      <c r="B116" s="553"/>
      <c r="C116" s="34">
        <v>13179</v>
      </c>
      <c r="D116" s="45">
        <v>2504.0100000000002</v>
      </c>
      <c r="E116" s="46">
        <v>15700</v>
      </c>
      <c r="I116" s="47"/>
      <c r="J116" s="48"/>
      <c r="K116" s="32"/>
      <c r="L116" s="212"/>
      <c r="M116" s="76" t="str">
        <f t="shared" si="6"/>
        <v/>
      </c>
    </row>
    <row r="117" spans="1:13" ht="15" customHeight="1" x14ac:dyDescent="0.25">
      <c r="A117" s="553" t="s">
        <v>214</v>
      </c>
      <c r="B117" s="553"/>
      <c r="C117" s="34">
        <v>15000</v>
      </c>
      <c r="D117" s="45">
        <v>2850</v>
      </c>
      <c r="E117" s="46">
        <v>17900</v>
      </c>
      <c r="I117" s="47"/>
      <c r="J117" s="48"/>
      <c r="K117" s="32"/>
      <c r="L117" s="212"/>
      <c r="M117" s="76" t="str">
        <f t="shared" si="6"/>
        <v/>
      </c>
    </row>
    <row r="118" spans="1:13" ht="15" customHeight="1" x14ac:dyDescent="0.25">
      <c r="A118" s="553" t="s">
        <v>215</v>
      </c>
      <c r="B118" s="553"/>
      <c r="C118" s="34">
        <v>12312</v>
      </c>
      <c r="D118" s="45">
        <v>2339.2800000000002</v>
      </c>
      <c r="E118" s="46">
        <v>14700</v>
      </c>
      <c r="I118" s="47"/>
      <c r="J118" s="48"/>
      <c r="K118" s="32"/>
      <c r="L118" s="212"/>
      <c r="M118" s="76" t="str">
        <f t="shared" si="6"/>
        <v/>
      </c>
    </row>
    <row r="119" spans="1:13" ht="15" customHeight="1" x14ac:dyDescent="0.25">
      <c r="A119" s="553" t="s">
        <v>216</v>
      </c>
      <c r="B119" s="553"/>
      <c r="C119" s="34">
        <v>13699</v>
      </c>
      <c r="D119" s="45">
        <v>2602.81</v>
      </c>
      <c r="E119" s="46">
        <v>16300</v>
      </c>
      <c r="I119" s="47"/>
      <c r="J119" s="48"/>
      <c r="K119" s="32"/>
      <c r="L119" s="212"/>
      <c r="M119" s="76" t="str">
        <f t="shared" si="6"/>
        <v/>
      </c>
    </row>
    <row r="120" spans="1:13" ht="30" customHeight="1" x14ac:dyDescent="0.25">
      <c r="A120" s="553" t="s">
        <v>217</v>
      </c>
      <c r="B120" s="553"/>
      <c r="C120" s="34">
        <v>51677</v>
      </c>
      <c r="D120" s="45">
        <v>9818.630000000001</v>
      </c>
      <c r="E120" s="46">
        <v>61500</v>
      </c>
      <c r="I120" s="47"/>
      <c r="J120" s="48"/>
      <c r="K120" s="32"/>
      <c r="L120" s="212"/>
      <c r="M120" s="76" t="str">
        <f t="shared" si="6"/>
        <v/>
      </c>
    </row>
    <row r="121" spans="1:13" ht="15" customHeight="1" x14ac:dyDescent="0.25">
      <c r="A121" s="553" t="s">
        <v>218</v>
      </c>
      <c r="B121" s="553"/>
      <c r="C121" s="34">
        <v>9451</v>
      </c>
      <c r="D121" s="45">
        <v>1795.69</v>
      </c>
      <c r="E121" s="46">
        <v>11200</v>
      </c>
      <c r="I121" s="47"/>
      <c r="J121" s="48"/>
      <c r="K121" s="32"/>
      <c r="L121" s="212"/>
      <c r="M121" s="76" t="str">
        <f t="shared" si="6"/>
        <v/>
      </c>
    </row>
    <row r="122" spans="1:13" ht="15" customHeight="1" x14ac:dyDescent="0.25">
      <c r="A122" s="553"/>
      <c r="B122" s="553"/>
      <c r="K122" s="32"/>
      <c r="M122" s="75"/>
    </row>
    <row r="123" spans="1:13" x14ac:dyDescent="0.25">
      <c r="K123" s="32"/>
      <c r="M123" s="75"/>
    </row>
    <row r="124" spans="1:13" x14ac:dyDescent="0.25">
      <c r="A124" s="554" t="s">
        <v>219</v>
      </c>
      <c r="B124" s="555"/>
      <c r="C124" s="49"/>
      <c r="D124" s="49"/>
      <c r="E124" s="50"/>
      <c r="K124" s="32"/>
      <c r="M124" s="75"/>
    </row>
    <row r="125" spans="1:13" x14ac:dyDescent="0.25">
      <c r="A125" s="554" t="s">
        <v>168</v>
      </c>
      <c r="B125" s="555"/>
      <c r="C125" s="38" t="s">
        <v>169</v>
      </c>
      <c r="D125" s="38" t="s">
        <v>170</v>
      </c>
      <c r="E125" s="38" t="s">
        <v>71</v>
      </c>
      <c r="K125" s="32"/>
      <c r="M125" s="75"/>
    </row>
    <row r="126" spans="1:13" ht="15" customHeight="1" x14ac:dyDescent="0.25">
      <c r="A126" s="553" t="s">
        <v>220</v>
      </c>
      <c r="B126" s="553"/>
      <c r="C126" s="34">
        <v>49457</v>
      </c>
      <c r="D126" s="45">
        <v>9396.83</v>
      </c>
      <c r="E126" s="46">
        <v>58900</v>
      </c>
      <c r="I126" s="47"/>
      <c r="J126" s="51"/>
      <c r="K126" s="32"/>
      <c r="L126" s="71"/>
      <c r="M126" s="76" t="str">
        <f t="shared" ref="M126:M139" si="7">IF(L126="X",E126,"")</f>
        <v/>
      </c>
    </row>
    <row r="127" spans="1:13" ht="37.5" customHeight="1" x14ac:dyDescent="0.25">
      <c r="A127" s="553" t="s">
        <v>221</v>
      </c>
      <c r="B127" s="553"/>
      <c r="C127" s="34">
        <v>41516</v>
      </c>
      <c r="D127" s="45">
        <v>7888.04</v>
      </c>
      <c r="E127" s="46">
        <v>49400</v>
      </c>
      <c r="I127" s="47"/>
      <c r="J127" s="51"/>
      <c r="K127" s="32"/>
      <c r="L127" s="71"/>
      <c r="M127" s="76"/>
    </row>
    <row r="128" spans="1:13" ht="15" customHeight="1" x14ac:dyDescent="0.25">
      <c r="A128" s="553" t="s">
        <v>222</v>
      </c>
      <c r="B128" s="553"/>
      <c r="C128" s="34">
        <v>35829</v>
      </c>
      <c r="D128" s="45">
        <v>6807.51</v>
      </c>
      <c r="E128" s="46">
        <v>42600</v>
      </c>
      <c r="I128" s="47"/>
      <c r="J128" s="51"/>
      <c r="K128" s="32"/>
      <c r="L128" s="71"/>
      <c r="M128" s="76" t="str">
        <f t="shared" si="7"/>
        <v/>
      </c>
    </row>
    <row r="129" spans="1:13" ht="15" customHeight="1" x14ac:dyDescent="0.25">
      <c r="A129" s="553" t="s">
        <v>223</v>
      </c>
      <c r="B129" s="553"/>
      <c r="C129" s="34">
        <v>35829</v>
      </c>
      <c r="D129" s="45">
        <v>6807.51</v>
      </c>
      <c r="E129" s="46">
        <v>42600</v>
      </c>
      <c r="I129" s="47"/>
      <c r="J129" s="51"/>
      <c r="K129" s="32"/>
      <c r="L129" s="71"/>
      <c r="M129" s="76" t="str">
        <f t="shared" si="7"/>
        <v/>
      </c>
    </row>
    <row r="130" spans="1:13" ht="15" customHeight="1" x14ac:dyDescent="0.25">
      <c r="A130" s="553" t="s">
        <v>224</v>
      </c>
      <c r="B130" s="553"/>
      <c r="C130" s="34">
        <v>46569</v>
      </c>
      <c r="D130" s="45">
        <v>8848.11</v>
      </c>
      <c r="E130" s="46">
        <v>55400</v>
      </c>
      <c r="I130" s="47"/>
      <c r="J130" s="51"/>
      <c r="K130" s="32"/>
      <c r="L130" s="71"/>
      <c r="M130" s="76" t="str">
        <f t="shared" si="7"/>
        <v/>
      </c>
    </row>
    <row r="131" spans="1:13" ht="15" customHeight="1" x14ac:dyDescent="0.25">
      <c r="A131" s="553" t="s">
        <v>225</v>
      </c>
      <c r="B131" s="553"/>
      <c r="C131" s="34">
        <v>49910</v>
      </c>
      <c r="D131" s="45">
        <v>9482.9</v>
      </c>
      <c r="E131" s="46">
        <v>59400</v>
      </c>
      <c r="I131" s="47"/>
      <c r="J131" s="51"/>
      <c r="K131" s="32"/>
      <c r="L131" s="71"/>
      <c r="M131" s="76" t="str">
        <f t="shared" si="7"/>
        <v/>
      </c>
    </row>
    <row r="132" spans="1:13" ht="15" customHeight="1" x14ac:dyDescent="0.25">
      <c r="A132" s="553" t="s">
        <v>226</v>
      </c>
      <c r="B132" s="553"/>
      <c r="C132" s="34">
        <v>46569</v>
      </c>
      <c r="D132" s="45">
        <v>8848.11</v>
      </c>
      <c r="E132" s="46">
        <v>55400</v>
      </c>
      <c r="I132" s="47"/>
      <c r="J132" s="51"/>
      <c r="K132" s="32"/>
      <c r="L132" s="71"/>
      <c r="M132" s="76" t="str">
        <f t="shared" si="7"/>
        <v/>
      </c>
    </row>
    <row r="133" spans="1:13" ht="15" customHeight="1" x14ac:dyDescent="0.25">
      <c r="A133" s="553" t="s">
        <v>227</v>
      </c>
      <c r="B133" s="553"/>
      <c r="C133" s="34">
        <v>16606</v>
      </c>
      <c r="D133" s="45">
        <v>3155.14</v>
      </c>
      <c r="E133" s="46">
        <v>19800</v>
      </c>
      <c r="I133" s="47"/>
      <c r="J133" s="51"/>
      <c r="K133" s="32"/>
      <c r="L133" s="71"/>
      <c r="M133" s="76" t="str">
        <f t="shared" si="7"/>
        <v/>
      </c>
    </row>
    <row r="134" spans="1:13" ht="26.25" customHeight="1" x14ac:dyDescent="0.25">
      <c r="A134" s="553" t="s">
        <v>228</v>
      </c>
      <c r="B134" s="553"/>
      <c r="C134" s="34">
        <v>46930</v>
      </c>
      <c r="D134" s="45">
        <v>8916.7000000000007</v>
      </c>
      <c r="E134" s="46">
        <v>55800</v>
      </c>
      <c r="I134" s="47"/>
      <c r="J134" s="51"/>
      <c r="K134" s="32"/>
      <c r="L134" s="71"/>
      <c r="M134" s="76" t="str">
        <f t="shared" si="7"/>
        <v/>
      </c>
    </row>
    <row r="135" spans="1:13" ht="15" customHeight="1" x14ac:dyDescent="0.25">
      <c r="A135" s="553" t="s">
        <v>229</v>
      </c>
      <c r="B135" s="553"/>
      <c r="C135" s="34">
        <v>31047</v>
      </c>
      <c r="D135" s="45">
        <v>5898.93</v>
      </c>
      <c r="E135" s="46">
        <v>36900</v>
      </c>
      <c r="I135" s="47"/>
      <c r="J135" s="51"/>
      <c r="K135" s="32"/>
      <c r="L135" s="71"/>
      <c r="M135" s="76" t="str">
        <f t="shared" si="7"/>
        <v/>
      </c>
    </row>
    <row r="136" spans="1:13" ht="26.25" customHeight="1" x14ac:dyDescent="0.25">
      <c r="A136" s="553" t="s">
        <v>230</v>
      </c>
      <c r="B136" s="553"/>
      <c r="C136" s="34">
        <v>17147</v>
      </c>
      <c r="D136" s="45">
        <v>3257.93</v>
      </c>
      <c r="E136" s="46">
        <v>20400</v>
      </c>
      <c r="I136" s="47"/>
      <c r="J136" s="51"/>
      <c r="K136" s="32"/>
      <c r="L136" s="71"/>
      <c r="M136" s="76" t="str">
        <f t="shared" si="7"/>
        <v/>
      </c>
    </row>
    <row r="137" spans="1:13" ht="15" customHeight="1" x14ac:dyDescent="0.25">
      <c r="A137" s="553" t="s">
        <v>231</v>
      </c>
      <c r="B137" s="553"/>
      <c r="C137" s="34">
        <v>17147</v>
      </c>
      <c r="D137" s="45">
        <v>3257.93</v>
      </c>
      <c r="E137" s="46">
        <v>20400</v>
      </c>
      <c r="I137" s="47"/>
      <c r="J137" s="51"/>
      <c r="K137" s="32"/>
      <c r="L137" s="71"/>
      <c r="M137" s="76" t="str">
        <f t="shared" si="7"/>
        <v/>
      </c>
    </row>
    <row r="138" spans="1:13" ht="15" customHeight="1" x14ac:dyDescent="0.25">
      <c r="A138" s="553" t="s">
        <v>232</v>
      </c>
      <c r="B138" s="553"/>
      <c r="C138" s="34">
        <v>47654</v>
      </c>
      <c r="D138" s="45">
        <v>9054.26</v>
      </c>
      <c r="E138" s="46">
        <v>56700</v>
      </c>
      <c r="I138" s="47"/>
      <c r="J138" s="51"/>
      <c r="K138" s="32"/>
      <c r="L138" s="71"/>
      <c r="M138" s="76" t="str">
        <f t="shared" si="7"/>
        <v/>
      </c>
    </row>
    <row r="139" spans="1:13" ht="15" customHeight="1" x14ac:dyDescent="0.25">
      <c r="A139" s="553" t="s">
        <v>233</v>
      </c>
      <c r="B139" s="553"/>
      <c r="C139" s="34">
        <v>61282</v>
      </c>
      <c r="D139" s="45">
        <v>11643.58</v>
      </c>
      <c r="E139" s="46">
        <v>72900</v>
      </c>
      <c r="I139" s="47"/>
      <c r="J139" s="51"/>
      <c r="K139" s="32"/>
      <c r="L139" s="71"/>
      <c r="M139" s="76" t="str">
        <f t="shared" si="7"/>
        <v/>
      </c>
    </row>
    <row r="140" spans="1:13" x14ac:dyDescent="0.25">
      <c r="A140" s="553"/>
      <c r="B140" s="553"/>
      <c r="I140" s="47"/>
      <c r="M140" s="75"/>
    </row>
    <row r="141" spans="1:13" x14ac:dyDescent="0.25">
      <c r="I141" s="47"/>
      <c r="M141" s="75"/>
    </row>
    <row r="142" spans="1:13" x14ac:dyDescent="0.25">
      <c r="A142" s="554" t="s">
        <v>234</v>
      </c>
      <c r="B142" s="555"/>
      <c r="C142" s="49"/>
      <c r="D142" s="49"/>
      <c r="E142" s="50"/>
      <c r="I142" s="47"/>
      <c r="M142" s="75"/>
    </row>
    <row r="143" spans="1:13" x14ac:dyDescent="0.25">
      <c r="A143" s="554" t="s">
        <v>168</v>
      </c>
      <c r="B143" s="555"/>
      <c r="C143" s="38" t="s">
        <v>169</v>
      </c>
      <c r="D143" s="38" t="s">
        <v>170</v>
      </c>
      <c r="E143" s="38" t="s">
        <v>71</v>
      </c>
      <c r="I143" s="47"/>
      <c r="M143" s="75"/>
    </row>
    <row r="144" spans="1:13" ht="15" customHeight="1" x14ac:dyDescent="0.25">
      <c r="A144" s="553" t="s">
        <v>235</v>
      </c>
      <c r="B144" s="553"/>
      <c r="C144" s="34">
        <v>6497</v>
      </c>
      <c r="D144" s="45">
        <v>1234.43</v>
      </c>
      <c r="E144" s="46">
        <v>7700</v>
      </c>
      <c r="I144" s="47"/>
      <c r="L144" s="71"/>
      <c r="M144" s="76" t="str">
        <f t="shared" ref="M144:M157" si="8">IF(L144="X",E144,"")</f>
        <v/>
      </c>
    </row>
    <row r="145" spans="1:13" ht="15" customHeight="1" x14ac:dyDescent="0.25">
      <c r="A145" s="553" t="s">
        <v>236</v>
      </c>
      <c r="B145" s="553"/>
      <c r="C145" s="34">
        <v>6497</v>
      </c>
      <c r="D145" s="45">
        <v>1234.43</v>
      </c>
      <c r="E145" s="46">
        <v>7700</v>
      </c>
      <c r="I145" s="47"/>
      <c r="L145" s="71"/>
      <c r="M145" s="76" t="str">
        <f t="shared" si="8"/>
        <v/>
      </c>
    </row>
    <row r="146" spans="1:13" ht="15" customHeight="1" x14ac:dyDescent="0.25">
      <c r="A146" s="553" t="s">
        <v>237</v>
      </c>
      <c r="B146" s="553"/>
      <c r="C146" s="34">
        <v>8483</v>
      </c>
      <c r="D146" s="45">
        <v>1611.77</v>
      </c>
      <c r="E146" s="46">
        <v>10100</v>
      </c>
      <c r="I146" s="47"/>
      <c r="L146" s="71"/>
      <c r="M146" s="76" t="str">
        <f t="shared" si="8"/>
        <v/>
      </c>
    </row>
    <row r="147" spans="1:13" ht="15" customHeight="1" x14ac:dyDescent="0.25">
      <c r="A147" s="553" t="s">
        <v>238</v>
      </c>
      <c r="B147" s="553"/>
      <c r="C147" s="34">
        <v>3881</v>
      </c>
      <c r="D147" s="45">
        <v>737.39</v>
      </c>
      <c r="E147" s="46">
        <v>4600</v>
      </c>
      <c r="I147" s="47"/>
      <c r="L147" s="71"/>
      <c r="M147" s="76" t="str">
        <f t="shared" si="8"/>
        <v/>
      </c>
    </row>
    <row r="148" spans="1:13" ht="15" customHeight="1" x14ac:dyDescent="0.25">
      <c r="A148" s="553" t="s">
        <v>239</v>
      </c>
      <c r="B148" s="553"/>
      <c r="C148" s="34">
        <v>9477</v>
      </c>
      <c r="D148" s="45">
        <v>1800.63</v>
      </c>
      <c r="E148" s="46">
        <v>11300</v>
      </c>
      <c r="I148" s="47"/>
      <c r="L148" s="71"/>
      <c r="M148" s="76" t="str">
        <f t="shared" si="8"/>
        <v/>
      </c>
    </row>
    <row r="149" spans="1:13" ht="15" customHeight="1" x14ac:dyDescent="0.25">
      <c r="A149" s="553" t="s">
        <v>240</v>
      </c>
      <c r="B149" s="553"/>
      <c r="C149" s="34">
        <v>14892</v>
      </c>
      <c r="D149" s="45">
        <v>2829.48</v>
      </c>
      <c r="E149" s="46">
        <v>17700</v>
      </c>
      <c r="I149" s="47"/>
      <c r="L149" s="71"/>
      <c r="M149" s="76" t="str">
        <f t="shared" si="8"/>
        <v/>
      </c>
    </row>
    <row r="150" spans="1:13" ht="15" customHeight="1" x14ac:dyDescent="0.25">
      <c r="A150" s="553" t="s">
        <v>241</v>
      </c>
      <c r="B150" s="553"/>
      <c r="C150" s="34">
        <v>14892</v>
      </c>
      <c r="D150" s="45">
        <v>2829.48</v>
      </c>
      <c r="E150" s="46">
        <v>17700</v>
      </c>
      <c r="I150" s="47"/>
      <c r="L150" s="71"/>
      <c r="M150" s="76" t="str">
        <f t="shared" si="8"/>
        <v/>
      </c>
    </row>
    <row r="151" spans="1:13" ht="26.25" customHeight="1" x14ac:dyDescent="0.25">
      <c r="A151" s="553" t="s">
        <v>242</v>
      </c>
      <c r="B151" s="553"/>
      <c r="C151" s="34">
        <v>14892</v>
      </c>
      <c r="D151" s="45">
        <v>2829.48</v>
      </c>
      <c r="E151" s="46">
        <v>17700</v>
      </c>
      <c r="I151" s="47"/>
      <c r="L151" s="71"/>
      <c r="M151" s="76" t="str">
        <f t="shared" si="8"/>
        <v/>
      </c>
    </row>
    <row r="152" spans="1:13" ht="15" customHeight="1" x14ac:dyDescent="0.25">
      <c r="A152" s="553" t="s">
        <v>243</v>
      </c>
      <c r="B152" s="553"/>
      <c r="C152" s="34">
        <v>9206</v>
      </c>
      <c r="D152" s="45">
        <v>1749.14</v>
      </c>
      <c r="E152" s="46">
        <v>11000</v>
      </c>
      <c r="I152" s="47"/>
      <c r="L152" s="71"/>
      <c r="M152" s="76" t="str">
        <f t="shared" si="8"/>
        <v/>
      </c>
    </row>
    <row r="153" spans="1:13" ht="15" customHeight="1" x14ac:dyDescent="0.25">
      <c r="A153" s="553" t="s">
        <v>244</v>
      </c>
      <c r="B153" s="553"/>
      <c r="C153" s="34">
        <v>2618</v>
      </c>
      <c r="D153" s="45">
        <v>497.42</v>
      </c>
      <c r="E153" s="46">
        <v>3100</v>
      </c>
      <c r="I153" s="47"/>
      <c r="L153" s="71"/>
      <c r="M153" s="76" t="str">
        <f t="shared" si="8"/>
        <v/>
      </c>
    </row>
    <row r="154" spans="1:13" ht="15" customHeight="1" x14ac:dyDescent="0.25">
      <c r="A154" s="553" t="s">
        <v>245</v>
      </c>
      <c r="B154" s="553"/>
      <c r="C154" s="34">
        <v>2618</v>
      </c>
      <c r="D154" s="45">
        <v>497.42</v>
      </c>
      <c r="E154" s="46">
        <v>3100</v>
      </c>
      <c r="I154" s="47"/>
      <c r="L154" s="71"/>
      <c r="M154" s="76" t="str">
        <f t="shared" si="8"/>
        <v/>
      </c>
    </row>
    <row r="155" spans="1:13" ht="15" customHeight="1" x14ac:dyDescent="0.25">
      <c r="A155" s="553" t="s">
        <v>246</v>
      </c>
      <c r="B155" s="553"/>
      <c r="C155" s="34">
        <v>6859</v>
      </c>
      <c r="D155" s="45">
        <v>1303.21</v>
      </c>
      <c r="E155" s="46">
        <v>8200</v>
      </c>
      <c r="I155" s="47"/>
      <c r="L155" s="71"/>
      <c r="M155" s="76" t="str">
        <f t="shared" si="8"/>
        <v/>
      </c>
    </row>
    <row r="156" spans="1:13" ht="15" customHeight="1" x14ac:dyDescent="0.25">
      <c r="A156" s="553" t="s">
        <v>247</v>
      </c>
      <c r="B156" s="553"/>
      <c r="C156" s="34">
        <v>6859</v>
      </c>
      <c r="D156" s="45">
        <v>1303.21</v>
      </c>
      <c r="E156" s="46">
        <v>8200</v>
      </c>
      <c r="I156" s="47"/>
      <c r="L156" s="71"/>
      <c r="M156" s="76" t="str">
        <f t="shared" si="8"/>
        <v/>
      </c>
    </row>
    <row r="157" spans="1:13" ht="15" customHeight="1" x14ac:dyDescent="0.25">
      <c r="A157" s="553" t="s">
        <v>248</v>
      </c>
      <c r="B157" s="553"/>
      <c r="C157" s="34">
        <v>5325</v>
      </c>
      <c r="D157" s="45">
        <v>1011.75</v>
      </c>
      <c r="E157" s="46">
        <v>6300</v>
      </c>
      <c r="I157" s="47"/>
      <c r="L157" s="71"/>
      <c r="M157" s="76" t="str">
        <f t="shared" si="8"/>
        <v/>
      </c>
    </row>
    <row r="158" spans="1:13" x14ac:dyDescent="0.25">
      <c r="I158" s="47"/>
      <c r="M158" s="75"/>
    </row>
    <row r="159" spans="1:13" x14ac:dyDescent="0.25">
      <c r="I159" s="47"/>
      <c r="M159" s="75"/>
    </row>
    <row r="160" spans="1:13" x14ac:dyDescent="0.25">
      <c r="A160" s="554" t="s">
        <v>249</v>
      </c>
      <c r="B160" s="555"/>
      <c r="C160" s="49"/>
      <c r="D160" s="49"/>
      <c r="E160" s="50"/>
      <c r="I160" s="47"/>
      <c r="M160" s="75"/>
    </row>
    <row r="161" spans="1:13" x14ac:dyDescent="0.25">
      <c r="A161" s="554" t="s">
        <v>168</v>
      </c>
      <c r="B161" s="555"/>
      <c r="C161" s="38" t="s">
        <v>169</v>
      </c>
      <c r="D161" s="38" t="s">
        <v>170</v>
      </c>
      <c r="E161" s="38" t="s">
        <v>71</v>
      </c>
      <c r="I161" s="47"/>
      <c r="M161" s="75"/>
    </row>
    <row r="162" spans="1:13" x14ac:dyDescent="0.25">
      <c r="A162" s="553" t="s">
        <v>250</v>
      </c>
      <c r="B162" s="553"/>
      <c r="C162" s="34">
        <v>56046</v>
      </c>
      <c r="D162" s="45">
        <v>10648.74</v>
      </c>
      <c r="E162" s="46">
        <v>66700</v>
      </c>
      <c r="I162" s="47"/>
      <c r="L162" s="71"/>
      <c r="M162" s="76" t="str">
        <f t="shared" ref="M162:M182" si="9">IF(L162="X",E162,"")</f>
        <v/>
      </c>
    </row>
    <row r="163" spans="1:13" x14ac:dyDescent="0.25">
      <c r="A163" s="553" t="s">
        <v>251</v>
      </c>
      <c r="B163" s="553"/>
      <c r="C163" s="34">
        <v>66246</v>
      </c>
      <c r="D163" s="45">
        <v>12586.74</v>
      </c>
      <c r="E163" s="46">
        <v>78800</v>
      </c>
      <c r="I163" s="47"/>
      <c r="L163" s="71"/>
      <c r="M163" s="76" t="str">
        <f t="shared" si="9"/>
        <v/>
      </c>
    </row>
    <row r="164" spans="1:13" x14ac:dyDescent="0.25">
      <c r="A164" s="553" t="s">
        <v>252</v>
      </c>
      <c r="B164" s="553"/>
      <c r="C164" s="34">
        <v>25993</v>
      </c>
      <c r="D164" s="45">
        <v>4938.67</v>
      </c>
      <c r="E164" s="46">
        <v>30900</v>
      </c>
      <c r="I164" s="47"/>
      <c r="L164" s="71"/>
      <c r="M164" s="76" t="str">
        <f t="shared" si="9"/>
        <v/>
      </c>
    </row>
    <row r="165" spans="1:13" x14ac:dyDescent="0.25">
      <c r="A165" s="553" t="s">
        <v>253</v>
      </c>
      <c r="B165" s="553"/>
      <c r="C165" s="34">
        <v>56046</v>
      </c>
      <c r="D165" s="45">
        <v>10648.74</v>
      </c>
      <c r="E165" s="46">
        <v>66700</v>
      </c>
      <c r="I165" s="47"/>
      <c r="L165" s="71"/>
      <c r="M165" s="76" t="str">
        <f t="shared" si="9"/>
        <v/>
      </c>
    </row>
    <row r="166" spans="1:13" x14ac:dyDescent="0.25">
      <c r="A166" s="553" t="s">
        <v>254</v>
      </c>
      <c r="B166" s="553"/>
      <c r="C166" s="34">
        <v>26444</v>
      </c>
      <c r="D166" s="45">
        <v>5024.3599999999997</v>
      </c>
      <c r="E166" s="46">
        <v>31500</v>
      </c>
      <c r="I166" s="47"/>
      <c r="L166" s="71"/>
      <c r="M166" s="76" t="str">
        <f t="shared" si="9"/>
        <v/>
      </c>
    </row>
    <row r="167" spans="1:13" x14ac:dyDescent="0.25">
      <c r="A167" s="553" t="s">
        <v>255</v>
      </c>
      <c r="B167" s="553"/>
      <c r="C167" s="34">
        <v>56046</v>
      </c>
      <c r="D167" s="45">
        <v>10648.74</v>
      </c>
      <c r="E167" s="46">
        <v>66700</v>
      </c>
      <c r="I167" s="47"/>
      <c r="L167" s="71"/>
      <c r="M167" s="76" t="str">
        <f t="shared" si="9"/>
        <v/>
      </c>
    </row>
    <row r="168" spans="1:13" x14ac:dyDescent="0.25">
      <c r="A168" s="553" t="s">
        <v>256</v>
      </c>
      <c r="B168" s="553"/>
      <c r="C168" s="34">
        <v>56046</v>
      </c>
      <c r="D168" s="45">
        <v>10648.74</v>
      </c>
      <c r="E168" s="46">
        <v>66700</v>
      </c>
      <c r="I168" s="47"/>
      <c r="L168" s="71"/>
      <c r="M168" s="76" t="str">
        <f t="shared" si="9"/>
        <v/>
      </c>
    </row>
    <row r="169" spans="1:13" x14ac:dyDescent="0.25">
      <c r="A169" s="553" t="s">
        <v>257</v>
      </c>
      <c r="B169" s="553"/>
      <c r="C169" s="34">
        <v>56046</v>
      </c>
      <c r="D169" s="45">
        <v>10648.74</v>
      </c>
      <c r="E169" s="46">
        <v>66700</v>
      </c>
      <c r="I169" s="47"/>
      <c r="L169" s="71"/>
      <c r="M169" s="76" t="str">
        <f t="shared" si="9"/>
        <v/>
      </c>
    </row>
    <row r="170" spans="1:13" x14ac:dyDescent="0.25">
      <c r="A170" s="553" t="s">
        <v>258</v>
      </c>
      <c r="B170" s="553"/>
      <c r="C170" s="34">
        <v>56046</v>
      </c>
      <c r="D170" s="45">
        <v>10648.74</v>
      </c>
      <c r="E170" s="46">
        <v>66700</v>
      </c>
      <c r="I170" s="47"/>
      <c r="L170" s="71"/>
      <c r="M170" s="76" t="str">
        <f t="shared" si="9"/>
        <v/>
      </c>
    </row>
    <row r="171" spans="1:13" x14ac:dyDescent="0.25">
      <c r="A171" s="553" t="s">
        <v>259</v>
      </c>
      <c r="B171" s="553"/>
      <c r="C171" s="34">
        <v>56046</v>
      </c>
      <c r="D171" s="45">
        <v>10648.74</v>
      </c>
      <c r="E171" s="46">
        <v>66700</v>
      </c>
      <c r="I171" s="47"/>
      <c r="L171" s="71"/>
      <c r="M171" s="76" t="str">
        <f t="shared" si="9"/>
        <v/>
      </c>
    </row>
    <row r="172" spans="1:13" x14ac:dyDescent="0.25">
      <c r="A172" s="553" t="s">
        <v>260</v>
      </c>
      <c r="B172" s="553"/>
      <c r="C172" s="34">
        <v>56046</v>
      </c>
      <c r="D172" s="45">
        <v>10648.74</v>
      </c>
      <c r="E172" s="46">
        <v>66700</v>
      </c>
      <c r="I172" s="47"/>
      <c r="L172" s="71"/>
      <c r="M172" s="76" t="str">
        <f t="shared" si="9"/>
        <v/>
      </c>
    </row>
    <row r="173" spans="1:13" x14ac:dyDescent="0.25">
      <c r="A173" s="553" t="s">
        <v>261</v>
      </c>
      <c r="B173" s="553"/>
      <c r="C173" s="34">
        <v>56046</v>
      </c>
      <c r="D173" s="45">
        <v>10648.74</v>
      </c>
      <c r="E173" s="46">
        <v>66700</v>
      </c>
      <c r="I173" s="47"/>
      <c r="L173" s="71"/>
      <c r="M173" s="76" t="str">
        <f t="shared" si="9"/>
        <v/>
      </c>
    </row>
    <row r="174" spans="1:13" x14ac:dyDescent="0.25">
      <c r="A174" s="553" t="s">
        <v>262</v>
      </c>
      <c r="B174" s="553"/>
      <c r="C174" s="34">
        <v>56046</v>
      </c>
      <c r="D174" s="45">
        <v>10648.74</v>
      </c>
      <c r="E174" s="46">
        <v>66700</v>
      </c>
      <c r="I174" s="47"/>
      <c r="L174" s="71"/>
      <c r="M174" s="76" t="str">
        <f t="shared" si="9"/>
        <v/>
      </c>
    </row>
    <row r="175" spans="1:13" x14ac:dyDescent="0.25">
      <c r="A175" s="553" t="s">
        <v>263</v>
      </c>
      <c r="B175" s="553"/>
      <c r="C175" s="34">
        <v>56046</v>
      </c>
      <c r="D175" s="45">
        <v>10648.74</v>
      </c>
      <c r="E175" s="46">
        <v>66700</v>
      </c>
      <c r="I175" s="47"/>
      <c r="L175" s="71"/>
      <c r="M175" s="76" t="str">
        <f t="shared" si="9"/>
        <v/>
      </c>
    </row>
    <row r="176" spans="1:13" x14ac:dyDescent="0.25">
      <c r="A176" s="553" t="s">
        <v>264</v>
      </c>
      <c r="B176" s="553"/>
      <c r="C176" s="34">
        <v>56046</v>
      </c>
      <c r="D176" s="45">
        <v>10648.74</v>
      </c>
      <c r="E176" s="46">
        <v>66700</v>
      </c>
      <c r="I176" s="47"/>
      <c r="L176" s="71"/>
      <c r="M176" s="76" t="str">
        <f t="shared" si="9"/>
        <v/>
      </c>
    </row>
    <row r="177" spans="1:13" x14ac:dyDescent="0.25">
      <c r="A177" s="553" t="s">
        <v>265</v>
      </c>
      <c r="B177" s="553"/>
      <c r="C177" s="34">
        <v>56046</v>
      </c>
      <c r="D177" s="45">
        <v>10648.74</v>
      </c>
      <c r="E177" s="46">
        <v>66700</v>
      </c>
      <c r="I177" s="47"/>
      <c r="L177" s="71"/>
      <c r="M177" s="76" t="str">
        <f t="shared" si="9"/>
        <v/>
      </c>
    </row>
    <row r="178" spans="1:13" x14ac:dyDescent="0.25">
      <c r="A178" s="553" t="s">
        <v>266</v>
      </c>
      <c r="B178" s="553"/>
      <c r="C178" s="34">
        <v>56046</v>
      </c>
      <c r="D178" s="45">
        <v>10648.74</v>
      </c>
      <c r="E178" s="46">
        <v>66700</v>
      </c>
      <c r="I178" s="47"/>
      <c r="L178" s="71"/>
      <c r="M178" s="76" t="str">
        <f t="shared" si="9"/>
        <v/>
      </c>
    </row>
    <row r="179" spans="1:13" x14ac:dyDescent="0.25">
      <c r="A179" s="553" t="s">
        <v>267</v>
      </c>
      <c r="B179" s="553"/>
      <c r="C179" s="34">
        <v>56046</v>
      </c>
      <c r="D179" s="45">
        <v>10648.74</v>
      </c>
      <c r="E179" s="46">
        <v>66700</v>
      </c>
      <c r="I179" s="47"/>
      <c r="L179" s="71"/>
      <c r="M179" s="76" t="str">
        <f t="shared" si="9"/>
        <v/>
      </c>
    </row>
    <row r="180" spans="1:13" x14ac:dyDescent="0.25">
      <c r="A180" s="553" t="s">
        <v>268</v>
      </c>
      <c r="B180" s="553"/>
      <c r="C180" s="34">
        <v>56046</v>
      </c>
      <c r="D180" s="45">
        <v>10648.74</v>
      </c>
      <c r="E180" s="46">
        <v>66700</v>
      </c>
      <c r="I180" s="47"/>
      <c r="L180" s="71"/>
      <c r="M180" s="76" t="str">
        <f t="shared" si="9"/>
        <v/>
      </c>
    </row>
    <row r="181" spans="1:13" x14ac:dyDescent="0.25">
      <c r="A181" s="553" t="s">
        <v>269</v>
      </c>
      <c r="B181" s="553"/>
      <c r="C181" s="34">
        <v>71750</v>
      </c>
      <c r="D181" s="45">
        <v>13632.5</v>
      </c>
      <c r="E181" s="46">
        <v>85400</v>
      </c>
      <c r="I181" s="47"/>
      <c r="L181" s="71"/>
      <c r="M181" s="76" t="str">
        <f t="shared" si="9"/>
        <v/>
      </c>
    </row>
    <row r="182" spans="1:13" x14ac:dyDescent="0.25">
      <c r="A182" s="553" t="s">
        <v>270</v>
      </c>
      <c r="B182" s="553"/>
      <c r="C182" s="34">
        <v>130058</v>
      </c>
      <c r="D182" s="45">
        <v>23950</v>
      </c>
      <c r="E182" s="46">
        <v>150000</v>
      </c>
      <c r="L182" s="71"/>
      <c r="M182" s="76" t="str">
        <f t="shared" si="9"/>
        <v/>
      </c>
    </row>
    <row r="183" spans="1:13" x14ac:dyDescent="0.25">
      <c r="M183" s="75"/>
    </row>
    <row r="184" spans="1:13" x14ac:dyDescent="0.25">
      <c r="A184" s="554" t="s">
        <v>271</v>
      </c>
      <c r="B184" s="555"/>
      <c r="C184" s="49"/>
      <c r="D184" s="49"/>
      <c r="E184" s="50"/>
      <c r="M184" s="75"/>
    </row>
    <row r="185" spans="1:13" x14ac:dyDescent="0.25">
      <c r="A185" s="554" t="s">
        <v>168</v>
      </c>
      <c r="B185" s="555"/>
      <c r="C185" s="38" t="s">
        <v>169</v>
      </c>
      <c r="D185" s="38" t="s">
        <v>170</v>
      </c>
      <c r="E185" s="38" t="s">
        <v>71</v>
      </c>
      <c r="M185" s="75"/>
    </row>
    <row r="186" spans="1:13" x14ac:dyDescent="0.25">
      <c r="A186" s="553" t="s">
        <v>272</v>
      </c>
      <c r="B186" s="553"/>
      <c r="C186" s="34">
        <v>219854</v>
      </c>
      <c r="D186" s="45">
        <v>41772.26</v>
      </c>
      <c r="E186" s="46">
        <v>261600</v>
      </c>
      <c r="I186" s="47"/>
      <c r="L186" s="71"/>
      <c r="M186" s="76" t="str">
        <f t="shared" ref="M186:M191" si="10">IF(L186="X",E186,"")</f>
        <v/>
      </c>
    </row>
    <row r="187" spans="1:13" x14ac:dyDescent="0.25">
      <c r="A187" s="553" t="s">
        <v>273</v>
      </c>
      <c r="B187" s="553"/>
      <c r="C187" s="34">
        <v>171119</v>
      </c>
      <c r="D187" s="45">
        <v>32512.61</v>
      </c>
      <c r="E187" s="46">
        <v>203600</v>
      </c>
      <c r="I187" s="47"/>
      <c r="L187" s="71"/>
      <c r="M187" s="76" t="str">
        <f t="shared" si="10"/>
        <v/>
      </c>
    </row>
    <row r="188" spans="1:13" x14ac:dyDescent="0.25">
      <c r="A188" s="553" t="s">
        <v>274</v>
      </c>
      <c r="B188" s="553"/>
      <c r="C188" s="34">
        <v>153880</v>
      </c>
      <c r="D188" s="45">
        <v>29237.200000000001</v>
      </c>
      <c r="E188" s="46">
        <v>183100</v>
      </c>
      <c r="I188" s="47"/>
      <c r="L188" s="71"/>
      <c r="M188" s="76" t="str">
        <f t="shared" si="10"/>
        <v/>
      </c>
    </row>
    <row r="189" spans="1:13" x14ac:dyDescent="0.25">
      <c r="A189" s="553" t="s">
        <v>275</v>
      </c>
      <c r="B189" s="553"/>
      <c r="C189" s="34">
        <v>137995</v>
      </c>
      <c r="D189" s="45">
        <v>26219.05</v>
      </c>
      <c r="E189" s="46">
        <v>164200</v>
      </c>
      <c r="I189" s="47"/>
      <c r="L189" s="71"/>
      <c r="M189" s="76" t="str">
        <f t="shared" si="10"/>
        <v/>
      </c>
    </row>
    <row r="190" spans="1:13" x14ac:dyDescent="0.25">
      <c r="A190" s="553" t="s">
        <v>276</v>
      </c>
      <c r="B190" s="553"/>
      <c r="C190" s="34">
        <v>125631</v>
      </c>
      <c r="D190" s="45">
        <v>23869.89</v>
      </c>
      <c r="E190" s="46">
        <v>149500</v>
      </c>
      <c r="I190" s="47"/>
      <c r="L190" s="71"/>
      <c r="M190" s="76" t="str">
        <f t="shared" si="10"/>
        <v/>
      </c>
    </row>
    <row r="191" spans="1:13" x14ac:dyDescent="0.25">
      <c r="A191" s="553" t="s">
        <v>277</v>
      </c>
      <c r="B191" s="553"/>
      <c r="C191" s="34">
        <v>113086</v>
      </c>
      <c r="D191" s="45">
        <v>21486.34</v>
      </c>
      <c r="E191" s="46">
        <v>134600</v>
      </c>
      <c r="I191" s="47"/>
      <c r="L191" s="71"/>
      <c r="M191" s="76" t="str">
        <f t="shared" si="10"/>
        <v/>
      </c>
    </row>
    <row r="192" spans="1:13" ht="28.5" customHeight="1" x14ac:dyDescent="0.25">
      <c r="A192" s="558" t="s">
        <v>278</v>
      </c>
      <c r="B192" s="559"/>
      <c r="C192" s="559"/>
      <c r="D192" s="559"/>
      <c r="E192" s="560"/>
      <c r="M192" s="75"/>
    </row>
    <row r="193" spans="1:13" x14ac:dyDescent="0.25">
      <c r="M193" s="75"/>
    </row>
    <row r="194" spans="1:13" x14ac:dyDescent="0.25">
      <c r="A194" s="554" t="s">
        <v>279</v>
      </c>
      <c r="B194" s="555"/>
      <c r="C194" s="564" t="s">
        <v>71</v>
      </c>
      <c r="M194" s="75"/>
    </row>
    <row r="195" spans="1:13" ht="15" customHeight="1" x14ac:dyDescent="0.25">
      <c r="A195" s="554" t="s">
        <v>280</v>
      </c>
      <c r="B195" s="555"/>
      <c r="C195" s="565"/>
      <c r="M195" s="75"/>
    </row>
    <row r="196" spans="1:13" x14ac:dyDescent="0.25">
      <c r="A196" s="553" t="s">
        <v>281</v>
      </c>
      <c r="B196" s="553"/>
      <c r="C196" s="52">
        <v>344000</v>
      </c>
      <c r="L196" s="71"/>
      <c r="M196" s="76" t="str">
        <f>IF(L196="X",C196,"")</f>
        <v/>
      </c>
    </row>
    <row r="197" spans="1:13" x14ac:dyDescent="0.25">
      <c r="A197" s="553" t="s">
        <v>282</v>
      </c>
      <c r="B197" s="553"/>
      <c r="C197" s="52">
        <v>194900</v>
      </c>
      <c r="L197" s="71"/>
      <c r="M197" s="76" t="str">
        <f t="shared" ref="M197:M202" si="11">IF(L197="X",C197,"")</f>
        <v/>
      </c>
    </row>
    <row r="198" spans="1:13" x14ac:dyDescent="0.25">
      <c r="A198" s="553" t="s">
        <v>283</v>
      </c>
      <c r="B198" s="553"/>
      <c r="C198" s="52">
        <v>45800</v>
      </c>
      <c r="L198" s="71"/>
      <c r="M198" s="76" t="str">
        <f t="shared" si="11"/>
        <v/>
      </c>
    </row>
    <row r="199" spans="1:13" x14ac:dyDescent="0.25">
      <c r="A199" s="553" t="s">
        <v>284</v>
      </c>
      <c r="B199" s="553"/>
      <c r="C199" s="52">
        <v>172100</v>
      </c>
      <c r="L199" s="71"/>
      <c r="M199" s="76" t="str">
        <f t="shared" si="11"/>
        <v/>
      </c>
    </row>
    <row r="200" spans="1:13" x14ac:dyDescent="0.25">
      <c r="A200" s="553" t="s">
        <v>285</v>
      </c>
      <c r="B200" s="553"/>
      <c r="C200" s="52">
        <v>91700</v>
      </c>
      <c r="L200" s="71"/>
      <c r="M200" s="76" t="str">
        <f t="shared" si="11"/>
        <v/>
      </c>
    </row>
    <row r="201" spans="1:13" x14ac:dyDescent="0.25">
      <c r="A201" s="553" t="s">
        <v>286</v>
      </c>
      <c r="B201" s="553"/>
      <c r="C201" s="52">
        <v>22900</v>
      </c>
      <c r="L201" s="71"/>
      <c r="M201" s="76" t="str">
        <f t="shared" si="11"/>
        <v/>
      </c>
    </row>
    <row r="202" spans="1:13" x14ac:dyDescent="0.25">
      <c r="A202" s="553" t="s">
        <v>287</v>
      </c>
      <c r="B202" s="553"/>
      <c r="C202" s="52">
        <v>74900</v>
      </c>
      <c r="L202" s="71"/>
      <c r="M202" s="76" t="str">
        <f t="shared" si="11"/>
        <v/>
      </c>
    </row>
    <row r="203" spans="1:13" x14ac:dyDescent="0.25">
      <c r="M203" s="75"/>
    </row>
    <row r="204" spans="1:13" x14ac:dyDescent="0.25">
      <c r="M204" s="75"/>
    </row>
    <row r="205" spans="1:13" ht="28.5" customHeight="1" x14ac:dyDescent="0.25">
      <c r="A205" s="563" t="s">
        <v>288</v>
      </c>
      <c r="B205" s="563"/>
      <c r="M205" s="75"/>
    </row>
    <row r="206" spans="1:13" x14ac:dyDescent="0.25">
      <c r="A206" s="554" t="s">
        <v>289</v>
      </c>
      <c r="B206" s="555"/>
      <c r="C206" s="35" t="s">
        <v>169</v>
      </c>
      <c r="D206" s="35" t="s">
        <v>170</v>
      </c>
      <c r="E206" s="35" t="s">
        <v>71</v>
      </c>
      <c r="M206" s="75"/>
    </row>
    <row r="207" spans="1:13" ht="30.75" customHeight="1" x14ac:dyDescent="0.25">
      <c r="A207" s="553" t="s">
        <v>290</v>
      </c>
      <c r="B207" s="553"/>
      <c r="C207" s="34">
        <v>492506</v>
      </c>
      <c r="D207" s="45">
        <v>93576.14</v>
      </c>
      <c r="E207" s="46">
        <v>586100</v>
      </c>
      <c r="I207" s="47"/>
      <c r="M207" s="76" t="str">
        <f t="shared" ref="M207:M216" si="12">IF(L207="X",C207,"")</f>
        <v/>
      </c>
    </row>
    <row r="208" spans="1:13" ht="30.75" customHeight="1" x14ac:dyDescent="0.25">
      <c r="A208" s="553" t="s">
        <v>291</v>
      </c>
      <c r="B208" s="553"/>
      <c r="C208" s="34">
        <v>231677</v>
      </c>
      <c r="D208" s="45">
        <v>44018.63</v>
      </c>
      <c r="E208" s="46">
        <v>275700</v>
      </c>
      <c r="I208" s="47"/>
      <c r="M208" s="76" t="str">
        <f t="shared" si="12"/>
        <v/>
      </c>
    </row>
    <row r="209" spans="1:13" x14ac:dyDescent="0.25">
      <c r="B209" s="53"/>
      <c r="C209" s="39"/>
      <c r="D209" s="39"/>
      <c r="E209" s="54"/>
      <c r="M209" s="76" t="str">
        <f t="shared" si="12"/>
        <v/>
      </c>
    </row>
    <row r="210" spans="1:13" x14ac:dyDescent="0.25">
      <c r="A210" s="554" t="s">
        <v>292</v>
      </c>
      <c r="B210" s="555"/>
      <c r="C210" s="39"/>
      <c r="D210" s="39"/>
      <c r="E210" s="38" t="s">
        <v>158</v>
      </c>
      <c r="M210" s="76" t="str">
        <f t="shared" si="12"/>
        <v/>
      </c>
    </row>
    <row r="211" spans="1:13" x14ac:dyDescent="0.25">
      <c r="A211" s="553" t="s">
        <v>293</v>
      </c>
      <c r="B211" s="553"/>
      <c r="C211" s="34">
        <v>92674</v>
      </c>
      <c r="D211" s="45">
        <v>17608.060000000001</v>
      </c>
      <c r="E211" s="46">
        <v>110300</v>
      </c>
      <c r="I211" s="47"/>
      <c r="M211" s="76" t="str">
        <f t="shared" si="12"/>
        <v/>
      </c>
    </row>
    <row r="212" spans="1:13" x14ac:dyDescent="0.25">
      <c r="A212" s="553" t="s">
        <v>294</v>
      </c>
      <c r="B212" s="553"/>
      <c r="C212" s="34">
        <v>225815</v>
      </c>
      <c r="D212" s="45">
        <v>42904.85</v>
      </c>
      <c r="E212" s="46">
        <v>268700</v>
      </c>
      <c r="I212" s="47"/>
      <c r="M212" s="76" t="str">
        <f t="shared" si="12"/>
        <v/>
      </c>
    </row>
    <row r="213" spans="1:13" x14ac:dyDescent="0.25">
      <c r="A213" s="553" t="s">
        <v>295</v>
      </c>
      <c r="B213" s="553"/>
      <c r="C213" s="34">
        <v>376232</v>
      </c>
      <c r="D213" s="45">
        <v>71484.08</v>
      </c>
      <c r="E213" s="46">
        <v>447700</v>
      </c>
      <c r="I213" s="47"/>
      <c r="M213" s="76" t="str">
        <f t="shared" si="12"/>
        <v/>
      </c>
    </row>
    <row r="214" spans="1:13" x14ac:dyDescent="0.25">
      <c r="A214" s="55"/>
      <c r="M214" s="76" t="str">
        <f t="shared" si="12"/>
        <v/>
      </c>
    </row>
    <row r="215" spans="1:13" ht="29.25" customHeight="1" x14ac:dyDescent="0.25">
      <c r="A215" s="554" t="s">
        <v>296</v>
      </c>
      <c r="B215" s="555"/>
      <c r="C215" s="35" t="s">
        <v>158</v>
      </c>
      <c r="D215" s="35" t="s">
        <v>297</v>
      </c>
      <c r="E215" s="35" t="s">
        <v>298</v>
      </c>
      <c r="M215" s="76" t="str">
        <f t="shared" si="12"/>
        <v/>
      </c>
    </row>
    <row r="216" spans="1:13" ht="14.45" customHeight="1" x14ac:dyDescent="0.25">
      <c r="A216" s="556" t="s">
        <v>299</v>
      </c>
      <c r="B216" s="557"/>
      <c r="C216" s="34">
        <v>19</v>
      </c>
      <c r="D216" s="45">
        <v>3.61</v>
      </c>
      <c r="E216" s="46">
        <v>23</v>
      </c>
      <c r="I216" s="47"/>
      <c r="M216" s="76" t="str">
        <f t="shared" si="12"/>
        <v/>
      </c>
    </row>
    <row r="217" spans="1:13" ht="14.45" customHeight="1" x14ac:dyDescent="0.25">
      <c r="A217" s="582" t="s">
        <v>582</v>
      </c>
      <c r="B217" s="582"/>
      <c r="C217" s="37">
        <v>87</v>
      </c>
      <c r="D217" s="78">
        <v>16.53</v>
      </c>
      <c r="E217" s="46">
        <v>100</v>
      </c>
      <c r="I217" s="47"/>
      <c r="M217" s="80"/>
    </row>
    <row r="218" spans="1:13" ht="39" customHeight="1" x14ac:dyDescent="0.25">
      <c r="A218" s="81" t="s">
        <v>378</v>
      </c>
      <c r="B218" s="82"/>
      <c r="C218" s="83">
        <v>70100</v>
      </c>
      <c r="D218" s="78"/>
      <c r="E218" s="217">
        <f>C218*C216*1.03</f>
        <v>1371857</v>
      </c>
      <c r="I218" s="47"/>
      <c r="M218" s="76" t="str">
        <f>IF(L218="X",C218,"")</f>
        <v/>
      </c>
    </row>
    <row r="219" spans="1:13" x14ac:dyDescent="0.25">
      <c r="A219" s="77"/>
      <c r="B219" s="77"/>
      <c r="C219" s="37"/>
      <c r="D219" s="78"/>
      <c r="E219" s="79"/>
      <c r="I219" s="47"/>
      <c r="M219" s="76" t="str">
        <f t="shared" ref="M219:M267" si="13">IF(L219="X",C219,"")</f>
        <v/>
      </c>
    </row>
    <row r="220" spans="1:13" x14ac:dyDescent="0.25">
      <c r="M220" s="76" t="str">
        <f>IF(L220="X",C220,"")</f>
        <v/>
      </c>
    </row>
    <row r="221" spans="1:13" ht="28.5" customHeight="1" x14ac:dyDescent="0.25">
      <c r="A221" s="558" t="s">
        <v>300</v>
      </c>
      <c r="B221" s="559"/>
      <c r="C221" s="559"/>
      <c r="D221" s="559"/>
      <c r="E221" s="560"/>
      <c r="M221" s="76" t="str">
        <f t="shared" si="13"/>
        <v/>
      </c>
    </row>
    <row r="222" spans="1:13" x14ac:dyDescent="0.25">
      <c r="M222" s="76" t="str">
        <f t="shared" si="13"/>
        <v/>
      </c>
    </row>
    <row r="223" spans="1:13" hidden="1" x14ac:dyDescent="0.25">
      <c r="A223" s="56" t="s">
        <v>301</v>
      </c>
      <c r="M223" s="76" t="str">
        <f t="shared" si="13"/>
        <v/>
      </c>
    </row>
    <row r="224" spans="1:13" hidden="1" x14ac:dyDescent="0.25">
      <c r="B224" s="57"/>
      <c r="M224" s="76" t="str">
        <f t="shared" si="13"/>
        <v/>
      </c>
    </row>
    <row r="225" spans="1:13" hidden="1" x14ac:dyDescent="0.25">
      <c r="A225" s="58" t="s">
        <v>302</v>
      </c>
      <c r="B225" s="59" t="s">
        <v>303</v>
      </c>
      <c r="C225" s="59" t="s">
        <v>304</v>
      </c>
      <c r="D225" s="561" t="s">
        <v>305</v>
      </c>
      <c r="E225" s="562"/>
      <c r="M225" s="76" t="str">
        <f t="shared" si="13"/>
        <v/>
      </c>
    </row>
    <row r="226" spans="1:13" ht="29.25" hidden="1" customHeight="1" x14ac:dyDescent="0.25">
      <c r="A226" s="60">
        <v>39456</v>
      </c>
      <c r="B226" s="61" t="s">
        <v>306</v>
      </c>
      <c r="C226" s="62">
        <v>1</v>
      </c>
      <c r="D226" s="548" t="s">
        <v>307</v>
      </c>
      <c r="E226" s="549"/>
      <c r="M226" s="76" t="str">
        <f t="shared" si="13"/>
        <v/>
      </c>
    </row>
    <row r="227" spans="1:13" ht="50.25" hidden="1" customHeight="1" x14ac:dyDescent="0.25">
      <c r="A227" s="60">
        <v>39547</v>
      </c>
      <c r="B227" s="61" t="s">
        <v>308</v>
      </c>
      <c r="C227" s="62">
        <v>2</v>
      </c>
      <c r="D227" s="548" t="s">
        <v>309</v>
      </c>
      <c r="E227" s="549"/>
      <c r="M227" s="76" t="str">
        <f t="shared" si="13"/>
        <v/>
      </c>
    </row>
    <row r="228" spans="1:13" ht="46.5" hidden="1" customHeight="1" x14ac:dyDescent="0.25">
      <c r="A228" s="60">
        <v>39587</v>
      </c>
      <c r="B228" s="61" t="s">
        <v>310</v>
      </c>
      <c r="C228" s="62">
        <v>3</v>
      </c>
      <c r="D228" s="548" t="s">
        <v>311</v>
      </c>
      <c r="E228" s="549"/>
      <c r="M228" s="76" t="str">
        <f t="shared" si="13"/>
        <v/>
      </c>
    </row>
    <row r="229" spans="1:13" ht="86.25" hidden="1" customHeight="1" x14ac:dyDescent="0.25">
      <c r="A229" s="60">
        <v>39626</v>
      </c>
      <c r="B229" s="61" t="s">
        <v>312</v>
      </c>
      <c r="C229" s="62">
        <v>4</v>
      </c>
      <c r="D229" s="548" t="s">
        <v>313</v>
      </c>
      <c r="E229" s="549"/>
      <c r="M229" s="76" t="str">
        <f t="shared" si="13"/>
        <v/>
      </c>
    </row>
    <row r="230" spans="1:13" ht="91.5" hidden="1" customHeight="1" x14ac:dyDescent="0.25">
      <c r="A230" s="60">
        <v>39751</v>
      </c>
      <c r="B230" s="61" t="s">
        <v>314</v>
      </c>
      <c r="C230" s="62">
        <v>5</v>
      </c>
      <c r="D230" s="548" t="s">
        <v>315</v>
      </c>
      <c r="E230" s="549"/>
      <c r="M230" s="76" t="str">
        <f t="shared" si="13"/>
        <v/>
      </c>
    </row>
    <row r="231" spans="1:13" ht="30.75" hidden="1" customHeight="1" x14ac:dyDescent="0.25">
      <c r="A231" s="60">
        <v>39857</v>
      </c>
      <c r="B231" s="61" t="s">
        <v>316</v>
      </c>
      <c r="C231" s="62">
        <v>6</v>
      </c>
      <c r="D231" s="548" t="s">
        <v>317</v>
      </c>
      <c r="E231" s="549"/>
      <c r="M231" s="76" t="str">
        <f t="shared" si="13"/>
        <v/>
      </c>
    </row>
    <row r="232" spans="1:13" ht="30" hidden="1" customHeight="1" x14ac:dyDescent="0.25">
      <c r="A232" s="60">
        <v>40177</v>
      </c>
      <c r="B232" s="61" t="s">
        <v>318</v>
      </c>
      <c r="C232" s="62">
        <v>7</v>
      </c>
      <c r="D232" s="548" t="s">
        <v>319</v>
      </c>
      <c r="E232" s="549"/>
      <c r="M232" s="76" t="str">
        <f t="shared" si="13"/>
        <v/>
      </c>
    </row>
    <row r="233" spans="1:13" ht="297" hidden="1" customHeight="1" x14ac:dyDescent="0.25">
      <c r="A233" s="60">
        <v>40416</v>
      </c>
      <c r="B233" s="61" t="s">
        <v>320</v>
      </c>
      <c r="C233" s="62">
        <v>8</v>
      </c>
      <c r="D233" s="548" t="s">
        <v>321</v>
      </c>
      <c r="E233" s="549"/>
      <c r="M233" s="76" t="str">
        <f t="shared" si="13"/>
        <v/>
      </c>
    </row>
    <row r="234" spans="1:13" ht="48.75" hidden="1" customHeight="1" x14ac:dyDescent="0.25">
      <c r="A234" s="60">
        <v>40555</v>
      </c>
      <c r="B234" s="61" t="s">
        <v>322</v>
      </c>
      <c r="C234" s="62">
        <v>9</v>
      </c>
      <c r="D234" s="548" t="s">
        <v>323</v>
      </c>
      <c r="E234" s="549"/>
      <c r="M234" s="76" t="str">
        <f t="shared" si="13"/>
        <v/>
      </c>
    </row>
    <row r="235" spans="1:13" ht="51" hidden="1" customHeight="1" x14ac:dyDescent="0.25">
      <c r="A235" s="60">
        <v>40911</v>
      </c>
      <c r="B235" s="61" t="s">
        <v>324</v>
      </c>
      <c r="C235" s="62">
        <v>10</v>
      </c>
      <c r="D235" s="548" t="s">
        <v>325</v>
      </c>
      <c r="E235" s="549"/>
      <c r="M235" s="76" t="str">
        <f t="shared" si="13"/>
        <v/>
      </c>
    </row>
    <row r="236" spans="1:13" ht="45.75" hidden="1" customHeight="1" x14ac:dyDescent="0.25">
      <c r="A236" s="60">
        <v>41176</v>
      </c>
      <c r="B236" s="61" t="s">
        <v>326</v>
      </c>
      <c r="C236" s="62">
        <v>11</v>
      </c>
      <c r="D236" s="548" t="s">
        <v>327</v>
      </c>
      <c r="E236" s="549"/>
      <c r="M236" s="76" t="str">
        <f t="shared" si="13"/>
        <v/>
      </c>
    </row>
    <row r="237" spans="1:13" ht="54" hidden="1" customHeight="1" x14ac:dyDescent="0.25">
      <c r="A237" s="60">
        <v>41204</v>
      </c>
      <c r="B237" s="61" t="s">
        <v>328</v>
      </c>
      <c r="C237" s="62">
        <v>12</v>
      </c>
      <c r="D237" s="548" t="s">
        <v>329</v>
      </c>
      <c r="E237" s="549"/>
      <c r="M237" s="76" t="str">
        <f t="shared" si="13"/>
        <v/>
      </c>
    </row>
    <row r="238" spans="1:13" ht="47.25" hidden="1" customHeight="1" x14ac:dyDescent="0.25">
      <c r="A238" s="60">
        <v>41274</v>
      </c>
      <c r="B238" s="61" t="s">
        <v>330</v>
      </c>
      <c r="C238" s="62">
        <v>13</v>
      </c>
      <c r="D238" s="548" t="s">
        <v>331</v>
      </c>
      <c r="E238" s="549"/>
      <c r="M238" s="76" t="str">
        <f t="shared" si="13"/>
        <v/>
      </c>
    </row>
    <row r="239" spans="1:13" ht="38.25" hidden="1" customHeight="1" x14ac:dyDescent="0.25">
      <c r="A239" s="60">
        <v>41297</v>
      </c>
      <c r="B239" s="61" t="s">
        <v>332</v>
      </c>
      <c r="C239" s="62">
        <v>14</v>
      </c>
      <c r="D239" s="548" t="s">
        <v>333</v>
      </c>
      <c r="E239" s="549"/>
      <c r="M239" s="76" t="str">
        <f t="shared" si="13"/>
        <v/>
      </c>
    </row>
    <row r="240" spans="1:13" ht="72" hidden="1" customHeight="1" x14ac:dyDescent="0.25">
      <c r="A240" s="60">
        <v>41494</v>
      </c>
      <c r="B240" s="61" t="s">
        <v>334</v>
      </c>
      <c r="C240" s="62">
        <v>15</v>
      </c>
      <c r="D240" s="548" t="s">
        <v>335</v>
      </c>
      <c r="E240" s="549"/>
      <c r="M240" s="76" t="str">
        <f t="shared" si="13"/>
        <v/>
      </c>
    </row>
    <row r="241" spans="1:13" ht="50.25" hidden="1" customHeight="1" x14ac:dyDescent="0.25">
      <c r="A241" s="60">
        <v>41646</v>
      </c>
      <c r="B241" s="61" t="s">
        <v>336</v>
      </c>
      <c r="C241" s="62">
        <v>16</v>
      </c>
      <c r="D241" s="548" t="s">
        <v>337</v>
      </c>
      <c r="E241" s="549"/>
      <c r="M241" s="76" t="str">
        <f t="shared" si="13"/>
        <v/>
      </c>
    </row>
    <row r="242" spans="1:13" ht="75" hidden="1" customHeight="1" x14ac:dyDescent="0.25">
      <c r="A242" s="60">
        <v>41824</v>
      </c>
      <c r="B242" s="61" t="s">
        <v>338</v>
      </c>
      <c r="C242" s="62">
        <v>17</v>
      </c>
      <c r="D242" s="548" t="s">
        <v>339</v>
      </c>
      <c r="E242" s="549"/>
      <c r="M242" s="76" t="str">
        <f t="shared" si="13"/>
        <v/>
      </c>
    </row>
    <row r="243" spans="1:13" ht="56.25" hidden="1" customHeight="1" x14ac:dyDescent="0.25">
      <c r="A243" s="60">
        <v>42019</v>
      </c>
      <c r="B243" s="61" t="s">
        <v>340</v>
      </c>
      <c r="C243" s="62">
        <v>18</v>
      </c>
      <c r="D243" s="548" t="s">
        <v>341</v>
      </c>
      <c r="E243" s="549"/>
      <c r="M243" s="76" t="str">
        <f t="shared" si="13"/>
        <v/>
      </c>
    </row>
    <row r="244" spans="1:13" ht="112.5" hidden="1" customHeight="1" x14ac:dyDescent="0.25">
      <c r="A244" s="60">
        <v>42206</v>
      </c>
      <c r="B244" s="61" t="s">
        <v>342</v>
      </c>
      <c r="C244" s="62">
        <v>19</v>
      </c>
      <c r="D244" s="548" t="s">
        <v>343</v>
      </c>
      <c r="E244" s="549"/>
      <c r="M244" s="76" t="str">
        <f t="shared" si="13"/>
        <v/>
      </c>
    </row>
    <row r="245" spans="1:13" ht="49.5" hidden="1" customHeight="1" x14ac:dyDescent="0.25">
      <c r="A245" s="60">
        <v>42375</v>
      </c>
      <c r="B245" s="61" t="s">
        <v>344</v>
      </c>
      <c r="C245" s="62">
        <v>20</v>
      </c>
      <c r="D245" s="548" t="s">
        <v>345</v>
      </c>
      <c r="E245" s="549"/>
      <c r="M245" s="76" t="str">
        <f t="shared" si="13"/>
        <v/>
      </c>
    </row>
    <row r="246" spans="1:13" ht="104.25" hidden="1" customHeight="1" x14ac:dyDescent="0.25">
      <c r="A246" s="60">
        <v>42667</v>
      </c>
      <c r="B246" s="61" t="s">
        <v>346</v>
      </c>
      <c r="C246" s="62">
        <v>21</v>
      </c>
      <c r="D246" s="548" t="s">
        <v>347</v>
      </c>
      <c r="E246" s="549"/>
      <c r="M246" s="76" t="str">
        <f t="shared" si="13"/>
        <v/>
      </c>
    </row>
    <row r="247" spans="1:13" ht="68.25" hidden="1" customHeight="1" x14ac:dyDescent="0.25">
      <c r="A247" s="60">
        <v>42738</v>
      </c>
      <c r="B247" s="61" t="s">
        <v>348</v>
      </c>
      <c r="C247" s="62">
        <v>22</v>
      </c>
      <c r="D247" s="548" t="s">
        <v>349</v>
      </c>
      <c r="E247" s="549"/>
      <c r="I247" s="550"/>
      <c r="J247" s="551"/>
      <c r="M247" s="76" t="str">
        <f t="shared" si="13"/>
        <v/>
      </c>
    </row>
    <row r="248" spans="1:13" ht="50.25" hidden="1" customHeight="1" x14ac:dyDescent="0.25">
      <c r="A248" s="60">
        <v>42790</v>
      </c>
      <c r="B248" s="61" t="s">
        <v>350</v>
      </c>
      <c r="C248" s="62">
        <v>23</v>
      </c>
      <c r="D248" s="548" t="s">
        <v>351</v>
      </c>
      <c r="E248" s="549"/>
      <c r="I248" s="550"/>
      <c r="J248" s="551"/>
      <c r="M248" s="76" t="str">
        <f t="shared" si="13"/>
        <v/>
      </c>
    </row>
    <row r="249" spans="1:13" ht="248.25" hidden="1" customHeight="1" x14ac:dyDescent="0.25">
      <c r="A249" s="60">
        <v>43112</v>
      </c>
      <c r="B249" s="61" t="s">
        <v>352</v>
      </c>
      <c r="C249" s="62">
        <v>24</v>
      </c>
      <c r="D249" s="548" t="s">
        <v>353</v>
      </c>
      <c r="E249" s="549"/>
      <c r="I249" s="550"/>
      <c r="J249" s="551"/>
      <c r="M249" s="76" t="str">
        <f t="shared" si="13"/>
        <v/>
      </c>
    </row>
    <row r="250" spans="1:13" ht="56.25" hidden="1" customHeight="1" x14ac:dyDescent="0.25">
      <c r="A250" s="60">
        <v>43166</v>
      </c>
      <c r="B250" s="61" t="s">
        <v>354</v>
      </c>
      <c r="C250" s="62">
        <v>25</v>
      </c>
      <c r="D250" s="548" t="s">
        <v>355</v>
      </c>
      <c r="E250" s="549"/>
      <c r="I250" s="550"/>
      <c r="J250" s="551"/>
      <c r="M250" s="76" t="str">
        <f t="shared" si="13"/>
        <v/>
      </c>
    </row>
    <row r="251" spans="1:13" hidden="1" x14ac:dyDescent="0.25">
      <c r="A251" s="552" t="s">
        <v>356</v>
      </c>
      <c r="B251" s="552"/>
      <c r="C251" s="552"/>
      <c r="D251" s="552"/>
      <c r="E251" s="552"/>
      <c r="M251" s="76" t="str">
        <f t="shared" si="13"/>
        <v/>
      </c>
    </row>
    <row r="252" spans="1:13" hidden="1" x14ac:dyDescent="0.25">
      <c r="M252" s="76" t="str">
        <f t="shared" si="13"/>
        <v/>
      </c>
    </row>
    <row r="253" spans="1:13" hidden="1" x14ac:dyDescent="0.25">
      <c r="M253" s="76" t="str">
        <f t="shared" si="13"/>
        <v/>
      </c>
    </row>
    <row r="254" spans="1:13" hidden="1" x14ac:dyDescent="0.25">
      <c r="M254" s="76" t="str">
        <f t="shared" si="13"/>
        <v/>
      </c>
    </row>
    <row r="255" spans="1:13" hidden="1" x14ac:dyDescent="0.25">
      <c r="M255" s="76" t="str">
        <f t="shared" si="13"/>
        <v/>
      </c>
    </row>
    <row r="256" spans="1:13" hidden="1" x14ac:dyDescent="0.25">
      <c r="M256" s="76" t="str">
        <f t="shared" si="13"/>
        <v/>
      </c>
    </row>
    <row r="257" spans="1:13" hidden="1" x14ac:dyDescent="0.25">
      <c r="M257" s="76" t="str">
        <f t="shared" si="13"/>
        <v/>
      </c>
    </row>
    <row r="258" spans="1:13" hidden="1" x14ac:dyDescent="0.25">
      <c r="M258" s="76" t="str">
        <f t="shared" si="13"/>
        <v/>
      </c>
    </row>
    <row r="259" spans="1:13" hidden="1" x14ac:dyDescent="0.25">
      <c r="M259" s="76" t="str">
        <f t="shared" si="13"/>
        <v/>
      </c>
    </row>
    <row r="260" spans="1:13" x14ac:dyDescent="0.25">
      <c r="A260" s="586" t="s">
        <v>373</v>
      </c>
      <c r="B260" s="585"/>
      <c r="M260" s="76" t="str">
        <f t="shared" si="13"/>
        <v/>
      </c>
    </row>
    <row r="261" spans="1:13" ht="27.6" customHeight="1" x14ac:dyDescent="0.25">
      <c r="A261" s="44"/>
      <c r="B261" s="580" t="s">
        <v>375</v>
      </c>
      <c r="M261" s="76" t="str">
        <f t="shared" si="13"/>
        <v/>
      </c>
    </row>
    <row r="262" spans="1:13" ht="35.450000000000003" customHeight="1" x14ac:dyDescent="0.25">
      <c r="A262" s="577" t="s">
        <v>374</v>
      </c>
      <c r="B262" s="581"/>
      <c r="C262" s="70" t="s">
        <v>379</v>
      </c>
      <c r="M262" s="76" t="str">
        <f t="shared" si="13"/>
        <v/>
      </c>
    </row>
    <row r="263" spans="1:13" ht="35.450000000000003" customHeight="1" x14ac:dyDescent="0.25">
      <c r="A263" s="578"/>
      <c r="B263" s="66" t="s">
        <v>470</v>
      </c>
      <c r="C263" s="218">
        <f>2000000*1.0318</f>
        <v>2063600</v>
      </c>
      <c r="M263" s="76" t="str">
        <f t="shared" si="13"/>
        <v/>
      </c>
    </row>
    <row r="264" spans="1:13" ht="35.450000000000003" customHeight="1" x14ac:dyDescent="0.25">
      <c r="A264" s="578"/>
      <c r="B264" s="68" t="s">
        <v>471</v>
      </c>
      <c r="C264" s="219">
        <f>1200000*1.0318</f>
        <v>1238160</v>
      </c>
      <c r="M264" s="76" t="str">
        <f t="shared" si="13"/>
        <v/>
      </c>
    </row>
    <row r="265" spans="1:13" ht="35.450000000000003" customHeight="1" x14ac:dyDescent="0.25">
      <c r="A265" s="578"/>
      <c r="B265" s="68"/>
      <c r="C265" s="69"/>
      <c r="M265" s="76" t="str">
        <f t="shared" si="13"/>
        <v/>
      </c>
    </row>
    <row r="266" spans="1:13" ht="35.450000000000003" customHeight="1" x14ac:dyDescent="0.25">
      <c r="A266" s="578"/>
      <c r="B266" s="68"/>
      <c r="C266" s="69"/>
      <c r="M266" s="76" t="str">
        <f t="shared" si="13"/>
        <v/>
      </c>
    </row>
    <row r="267" spans="1:13" ht="35.450000000000003" customHeight="1" x14ac:dyDescent="0.25">
      <c r="A267" s="579"/>
      <c r="B267" s="68"/>
      <c r="C267" s="69"/>
      <c r="M267" s="76" t="str">
        <f t="shared" si="13"/>
        <v/>
      </c>
    </row>
    <row r="277" spans="12:12" x14ac:dyDescent="0.25">
      <c r="L277" s="73"/>
    </row>
    <row r="278" spans="12:12" x14ac:dyDescent="0.25">
      <c r="L278" s="74"/>
    </row>
  </sheetData>
  <mergeCells count="243">
    <mergeCell ref="N3:O3"/>
    <mergeCell ref="N4:O4"/>
    <mergeCell ref="N5:O5"/>
    <mergeCell ref="N6:O6"/>
    <mergeCell ref="N7:O7"/>
    <mergeCell ref="N8:O8"/>
    <mergeCell ref="N9:O9"/>
    <mergeCell ref="N69:O69"/>
    <mergeCell ref="A260:B260"/>
    <mergeCell ref="A1:B6"/>
    <mergeCell ref="C1:E1"/>
    <mergeCell ref="C2:E2"/>
    <mergeCell ref="D3:E3"/>
    <mergeCell ref="D4:E4"/>
    <mergeCell ref="D5:E5"/>
    <mergeCell ref="D6:E6"/>
    <mergeCell ref="A39:B39"/>
    <mergeCell ref="A40:B40"/>
    <mergeCell ref="A41:B41"/>
    <mergeCell ref="A29:E29"/>
    <mergeCell ref="A30:B30"/>
    <mergeCell ref="A31:B31"/>
    <mergeCell ref="A32:B32"/>
    <mergeCell ref="A33:B33"/>
    <mergeCell ref="A262:A267"/>
    <mergeCell ref="B261:B262"/>
    <mergeCell ref="A217:B217"/>
    <mergeCell ref="A8:E8"/>
    <mergeCell ref="A9:E9"/>
    <mergeCell ref="A10:B10"/>
    <mergeCell ref="A11:B11"/>
    <mergeCell ref="A12:B12"/>
    <mergeCell ref="A13:B13"/>
    <mergeCell ref="A22:B22"/>
    <mergeCell ref="A23:B23"/>
    <mergeCell ref="A24:B24"/>
    <mergeCell ref="A25:B25"/>
    <mergeCell ref="A26:B26"/>
    <mergeCell ref="A28:E28"/>
    <mergeCell ref="A14:B14"/>
    <mergeCell ref="A15:B15"/>
    <mergeCell ref="A18:B18"/>
    <mergeCell ref="A19:B19"/>
    <mergeCell ref="A20:B20"/>
    <mergeCell ref="A21:B21"/>
    <mergeCell ref="A35:E35"/>
    <mergeCell ref="A37:B37"/>
    <mergeCell ref="A38:B38"/>
    <mergeCell ref="A34:B34"/>
    <mergeCell ref="A51:B51"/>
    <mergeCell ref="A52:B52"/>
    <mergeCell ref="A53:B53"/>
    <mergeCell ref="A54:B54"/>
    <mergeCell ref="A55:E55"/>
    <mergeCell ref="A56:E56"/>
    <mergeCell ref="A42:B42"/>
    <mergeCell ref="A43:B43"/>
    <mergeCell ref="A44:E44"/>
    <mergeCell ref="A46:B46"/>
    <mergeCell ref="A47:B47"/>
    <mergeCell ref="A48:E48"/>
    <mergeCell ref="A63:D63"/>
    <mergeCell ref="A64:D64"/>
    <mergeCell ref="A65:D65"/>
    <mergeCell ref="A66:D66"/>
    <mergeCell ref="A67:E67"/>
    <mergeCell ref="A68:E68"/>
    <mergeCell ref="A57:E57"/>
    <mergeCell ref="B58:E58"/>
    <mergeCell ref="A59:E59"/>
    <mergeCell ref="B60:E60"/>
    <mergeCell ref="A61:D61"/>
    <mergeCell ref="A62:D62"/>
    <mergeCell ref="A76:B76"/>
    <mergeCell ref="A77:B77"/>
    <mergeCell ref="A78:B78"/>
    <mergeCell ref="A79:B79"/>
    <mergeCell ref="A80:B80"/>
    <mergeCell ref="A81:B81"/>
    <mergeCell ref="A69:E69"/>
    <mergeCell ref="A71:E71"/>
    <mergeCell ref="A72:B72"/>
    <mergeCell ref="A73:B73"/>
    <mergeCell ref="A74:B74"/>
    <mergeCell ref="A75:B75"/>
    <mergeCell ref="A88:B88"/>
    <mergeCell ref="A89:B89"/>
    <mergeCell ref="A90:B90"/>
    <mergeCell ref="A91:B91"/>
    <mergeCell ref="A92:B92"/>
    <mergeCell ref="A93:B93"/>
    <mergeCell ref="A82:B82"/>
    <mergeCell ref="A83:B83"/>
    <mergeCell ref="A84:B84"/>
    <mergeCell ref="A85:B85"/>
    <mergeCell ref="A86:B86"/>
    <mergeCell ref="A87:B87"/>
    <mergeCell ref="A100:B100"/>
    <mergeCell ref="A101:B101"/>
    <mergeCell ref="A102:B102"/>
    <mergeCell ref="A103:B103"/>
    <mergeCell ref="A104:B104"/>
    <mergeCell ref="A105:B105"/>
    <mergeCell ref="A94:B94"/>
    <mergeCell ref="A95:B95"/>
    <mergeCell ref="A96:B96"/>
    <mergeCell ref="A97:B97"/>
    <mergeCell ref="A98:B98"/>
    <mergeCell ref="A99:B99"/>
    <mergeCell ref="A112:B112"/>
    <mergeCell ref="A113:B113"/>
    <mergeCell ref="A114:B114"/>
    <mergeCell ref="A115:B115"/>
    <mergeCell ref="A116:B116"/>
    <mergeCell ref="A117:B117"/>
    <mergeCell ref="A106:B106"/>
    <mergeCell ref="A107:B107"/>
    <mergeCell ref="A108:B108"/>
    <mergeCell ref="A109:B109"/>
    <mergeCell ref="A110:B110"/>
    <mergeCell ref="A111:B111"/>
    <mergeCell ref="A126:B126"/>
    <mergeCell ref="A127:B127"/>
    <mergeCell ref="A128:B128"/>
    <mergeCell ref="A129:B129"/>
    <mergeCell ref="A130:B130"/>
    <mergeCell ref="A131:B131"/>
    <mergeCell ref="A118:B118"/>
    <mergeCell ref="A119:B119"/>
    <mergeCell ref="A120:B120"/>
    <mergeCell ref="A121:B121"/>
    <mergeCell ref="A124:B124"/>
    <mergeCell ref="A125:B125"/>
    <mergeCell ref="A122:B122"/>
    <mergeCell ref="A138:B138"/>
    <mergeCell ref="A139:B139"/>
    <mergeCell ref="A142:B142"/>
    <mergeCell ref="A143:B143"/>
    <mergeCell ref="A144:B144"/>
    <mergeCell ref="A145:B145"/>
    <mergeCell ref="A132:B132"/>
    <mergeCell ref="A133:B133"/>
    <mergeCell ref="A134:B134"/>
    <mergeCell ref="A135:B135"/>
    <mergeCell ref="A136:B136"/>
    <mergeCell ref="A137:B137"/>
    <mergeCell ref="A140:B140"/>
    <mergeCell ref="A152:B152"/>
    <mergeCell ref="A153:B153"/>
    <mergeCell ref="A154:B154"/>
    <mergeCell ref="A155:B155"/>
    <mergeCell ref="A156:B156"/>
    <mergeCell ref="A157:B157"/>
    <mergeCell ref="A146:B146"/>
    <mergeCell ref="A147:B147"/>
    <mergeCell ref="A148:B148"/>
    <mergeCell ref="A149:B149"/>
    <mergeCell ref="A150:B150"/>
    <mergeCell ref="A151:B151"/>
    <mergeCell ref="A166:B166"/>
    <mergeCell ref="A167:B167"/>
    <mergeCell ref="A168:B168"/>
    <mergeCell ref="A169:B169"/>
    <mergeCell ref="A170:B170"/>
    <mergeCell ref="A171:B171"/>
    <mergeCell ref="A160:B160"/>
    <mergeCell ref="A161:B161"/>
    <mergeCell ref="A162:B162"/>
    <mergeCell ref="A163:B163"/>
    <mergeCell ref="A164:B164"/>
    <mergeCell ref="A165:B165"/>
    <mergeCell ref="A178:B178"/>
    <mergeCell ref="A179:B179"/>
    <mergeCell ref="A180:B180"/>
    <mergeCell ref="A181:B181"/>
    <mergeCell ref="A182:B182"/>
    <mergeCell ref="A184:B184"/>
    <mergeCell ref="A172:B172"/>
    <mergeCell ref="A173:B173"/>
    <mergeCell ref="A174:B174"/>
    <mergeCell ref="A175:B175"/>
    <mergeCell ref="A176:B176"/>
    <mergeCell ref="A177:B177"/>
    <mergeCell ref="A191:B191"/>
    <mergeCell ref="A192:E192"/>
    <mergeCell ref="A194:B194"/>
    <mergeCell ref="C194:C195"/>
    <mergeCell ref="A195:B195"/>
    <mergeCell ref="A196:B196"/>
    <mergeCell ref="A185:B185"/>
    <mergeCell ref="A186:B186"/>
    <mergeCell ref="A187:B187"/>
    <mergeCell ref="A188:B188"/>
    <mergeCell ref="A189:B189"/>
    <mergeCell ref="A190:B190"/>
    <mergeCell ref="A205:B205"/>
    <mergeCell ref="A206:B206"/>
    <mergeCell ref="A207:B207"/>
    <mergeCell ref="A208:B208"/>
    <mergeCell ref="A210:B210"/>
    <mergeCell ref="A211:B211"/>
    <mergeCell ref="A197:B197"/>
    <mergeCell ref="A198:B198"/>
    <mergeCell ref="A199:B199"/>
    <mergeCell ref="A200:B200"/>
    <mergeCell ref="A201:B201"/>
    <mergeCell ref="A202:B202"/>
    <mergeCell ref="D226:E226"/>
    <mergeCell ref="D227:E227"/>
    <mergeCell ref="D228:E228"/>
    <mergeCell ref="D229:E229"/>
    <mergeCell ref="D230:E230"/>
    <mergeCell ref="D231:E231"/>
    <mergeCell ref="A212:B212"/>
    <mergeCell ref="A213:B213"/>
    <mergeCell ref="A215:B215"/>
    <mergeCell ref="A216:B216"/>
    <mergeCell ref="A221:E221"/>
    <mergeCell ref="D225:E225"/>
    <mergeCell ref="D238:E238"/>
    <mergeCell ref="D239:E239"/>
    <mergeCell ref="D240:E240"/>
    <mergeCell ref="D241:E241"/>
    <mergeCell ref="D242:E242"/>
    <mergeCell ref="D243:E243"/>
    <mergeCell ref="D232:E232"/>
    <mergeCell ref="D233:E233"/>
    <mergeCell ref="D234:E234"/>
    <mergeCell ref="D235:E235"/>
    <mergeCell ref="D236:E236"/>
    <mergeCell ref="D237:E237"/>
    <mergeCell ref="D249:E249"/>
    <mergeCell ref="I249:J249"/>
    <mergeCell ref="D250:E250"/>
    <mergeCell ref="I250:J250"/>
    <mergeCell ref="A251:E251"/>
    <mergeCell ref="D244:E244"/>
    <mergeCell ref="D245:E245"/>
    <mergeCell ref="D246:E246"/>
    <mergeCell ref="D247:E247"/>
    <mergeCell ref="I247:J247"/>
    <mergeCell ref="D248:E248"/>
    <mergeCell ref="I248:J248"/>
  </mergeCells>
  <dataValidations disablePrompts="1" count="1">
    <dataValidation type="list" allowBlank="1" showInputMessage="1" showErrorMessage="1" sqref="L74:L139">
      <formula1>$L$277:$L$278</formula1>
    </dataValidation>
  </dataValidations>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R25"/>
  <sheetViews>
    <sheetView zoomScale="87" zoomScaleNormal="87" workbookViewId="0">
      <selection activeCell="A5" sqref="A5"/>
    </sheetView>
  </sheetViews>
  <sheetFormatPr baseColWidth="10" defaultColWidth="11.5703125" defaultRowHeight="15" x14ac:dyDescent="0.25"/>
  <cols>
    <col min="1" max="1" width="80.85546875" style="64" customWidth="1"/>
    <col min="2" max="2" width="36.42578125" style="64" customWidth="1"/>
    <col min="3" max="3" width="27" style="64" customWidth="1"/>
    <col min="4" max="10" width="0" style="64" hidden="1" customWidth="1"/>
    <col min="11" max="13" width="13.85546875" style="64" hidden="1" customWidth="1"/>
    <col min="14" max="15" width="22.28515625" style="100" hidden="1" customWidth="1"/>
    <col min="16" max="25" width="0" style="64" hidden="1" customWidth="1"/>
    <col min="26" max="16384" width="11.5703125" style="64"/>
  </cols>
  <sheetData>
    <row r="1" spans="1:18" ht="37.9" customHeight="1" x14ac:dyDescent="0.25">
      <c r="A1" s="108" t="s">
        <v>403</v>
      </c>
      <c r="B1" s="107">
        <f>B5+B14</f>
        <v>250000000</v>
      </c>
      <c r="K1" s="594" t="s">
        <v>388</v>
      </c>
      <c r="L1" s="594"/>
      <c r="M1" s="594"/>
      <c r="N1" s="594"/>
      <c r="O1" s="594"/>
      <c r="P1" s="594"/>
      <c r="Q1" s="594"/>
    </row>
    <row r="2" spans="1:18" x14ac:dyDescent="0.25">
      <c r="A2" s="97"/>
      <c r="K2" s="591" t="s">
        <v>407</v>
      </c>
      <c r="L2" s="591"/>
      <c r="M2" s="591"/>
      <c r="N2" s="591"/>
      <c r="O2" s="591"/>
      <c r="P2" s="591"/>
      <c r="Q2" s="591"/>
      <c r="R2" s="591"/>
    </row>
    <row r="3" spans="1:18" ht="43.15" customHeight="1" x14ac:dyDescent="0.25">
      <c r="A3" s="97" t="s">
        <v>404</v>
      </c>
      <c r="B3" s="102" t="s">
        <v>390</v>
      </c>
      <c r="K3" s="595" t="s">
        <v>414</v>
      </c>
      <c r="L3" s="595"/>
      <c r="M3" s="595"/>
      <c r="N3" s="595"/>
      <c r="O3" s="101" t="s">
        <v>413</v>
      </c>
    </row>
    <row r="4" spans="1:18" ht="33" customHeight="1" x14ac:dyDescent="0.3">
      <c r="A4" s="98"/>
      <c r="B4" s="101" t="s">
        <v>396</v>
      </c>
      <c r="K4" s="64">
        <v>0</v>
      </c>
      <c r="L4" s="64">
        <v>25</v>
      </c>
      <c r="N4" s="109">
        <f>L4*781242</f>
        <v>19531050</v>
      </c>
      <c r="O4" s="111">
        <f>'CALCULO TARIFA FINAL'!C31</f>
        <v>104800</v>
      </c>
    </row>
    <row r="5" spans="1:18" ht="39.6" customHeight="1" x14ac:dyDescent="0.3">
      <c r="A5" s="99" t="s">
        <v>389</v>
      </c>
      <c r="B5" s="213">
        <f>B7+B8+B9+B10+B11</f>
        <v>250000000</v>
      </c>
      <c r="C5" s="214" t="s">
        <v>578</v>
      </c>
      <c r="K5" s="64">
        <v>25</v>
      </c>
      <c r="L5" s="64">
        <v>35</v>
      </c>
      <c r="N5" s="109">
        <f t="shared" ref="N5:N16" si="0">L5*781242</f>
        <v>27343470</v>
      </c>
      <c r="O5" s="111">
        <f>'CALCULO TARIFA FINAL'!C32</f>
        <v>146800</v>
      </c>
    </row>
    <row r="6" spans="1:18" ht="18.75" x14ac:dyDescent="0.3">
      <c r="A6" s="98"/>
      <c r="B6" s="106"/>
      <c r="C6" s="214" t="s">
        <v>579</v>
      </c>
      <c r="K6" s="64">
        <v>35</v>
      </c>
      <c r="L6" s="64">
        <v>50</v>
      </c>
      <c r="N6" s="109">
        <f t="shared" si="0"/>
        <v>39062100</v>
      </c>
      <c r="O6" s="111">
        <f>'CALCULO TARIFA FINAL'!C33</f>
        <v>209900</v>
      </c>
    </row>
    <row r="7" spans="1:18" ht="30" customHeight="1" x14ac:dyDescent="0.3">
      <c r="A7" s="105" t="s">
        <v>392</v>
      </c>
      <c r="B7" s="221">
        <v>250000000</v>
      </c>
      <c r="K7" s="64">
        <v>50</v>
      </c>
      <c r="L7" s="64">
        <v>70</v>
      </c>
      <c r="N7" s="109">
        <f t="shared" si="0"/>
        <v>54686940</v>
      </c>
      <c r="O7" s="111">
        <f>'CALCULO TARIFA FINAL'!C34</f>
        <v>294100</v>
      </c>
    </row>
    <row r="8" spans="1:18" ht="30" customHeight="1" x14ac:dyDescent="0.3">
      <c r="A8" s="105" t="s">
        <v>391</v>
      </c>
      <c r="B8" s="104"/>
      <c r="K8" s="64">
        <v>70</v>
      </c>
      <c r="L8" s="64">
        <v>100</v>
      </c>
      <c r="N8" s="109">
        <f t="shared" si="0"/>
        <v>78124200</v>
      </c>
      <c r="O8" s="111">
        <f>'CALCULO TARIFA FINAL'!C35</f>
        <v>420300</v>
      </c>
    </row>
    <row r="9" spans="1:18" ht="30" customHeight="1" x14ac:dyDescent="0.3">
      <c r="A9" s="105" t="s">
        <v>393</v>
      </c>
      <c r="B9" s="104"/>
      <c r="K9" s="64">
        <v>100</v>
      </c>
      <c r="L9" s="64">
        <v>200</v>
      </c>
      <c r="N9" s="109">
        <f t="shared" si="0"/>
        <v>156248400</v>
      </c>
      <c r="O9" s="111">
        <f>'CALCULO TARIFA FINAL'!C36</f>
        <v>841000</v>
      </c>
    </row>
    <row r="10" spans="1:18" ht="30" customHeight="1" x14ac:dyDescent="0.3">
      <c r="A10" s="105" t="s">
        <v>394</v>
      </c>
      <c r="B10" s="104"/>
      <c r="K10" s="64">
        <v>200</v>
      </c>
      <c r="L10" s="64">
        <v>300</v>
      </c>
      <c r="N10" s="109">
        <f t="shared" si="0"/>
        <v>234372600</v>
      </c>
      <c r="O10" s="111">
        <f>'CALCULO TARIFA FINAL'!C37</f>
        <v>1261700</v>
      </c>
    </row>
    <row r="11" spans="1:18" ht="30" customHeight="1" x14ac:dyDescent="0.3">
      <c r="A11" s="105" t="s">
        <v>395</v>
      </c>
      <c r="B11" s="104">
        <v>0</v>
      </c>
      <c r="D11" s="591" t="s">
        <v>407</v>
      </c>
      <c r="E11" s="591"/>
      <c r="F11" s="591"/>
      <c r="G11" s="591"/>
      <c r="H11" s="591"/>
      <c r="I11" s="591"/>
      <c r="K11" s="64">
        <v>300</v>
      </c>
      <c r="L11" s="64">
        <v>400</v>
      </c>
      <c r="N11" s="109">
        <f t="shared" si="0"/>
        <v>312496800</v>
      </c>
      <c r="O11" s="111">
        <f>'CALCULO TARIFA FINAL'!C38</f>
        <v>1682400</v>
      </c>
    </row>
    <row r="12" spans="1:18" ht="30" customHeight="1" x14ac:dyDescent="0.3">
      <c r="A12" s="103"/>
      <c r="D12" s="591" t="s">
        <v>408</v>
      </c>
      <c r="E12" s="591"/>
      <c r="K12" s="64">
        <v>400</v>
      </c>
      <c r="L12" s="64">
        <v>500</v>
      </c>
      <c r="N12" s="109">
        <f t="shared" si="0"/>
        <v>390621000</v>
      </c>
      <c r="O12" s="111">
        <f>'CALCULO TARIFA FINAL'!C39</f>
        <v>2103100</v>
      </c>
    </row>
    <row r="13" spans="1:18" ht="51.6" customHeight="1" x14ac:dyDescent="0.3">
      <c r="A13" s="98"/>
      <c r="B13" s="101" t="s">
        <v>396</v>
      </c>
      <c r="D13" s="593" t="s">
        <v>409</v>
      </c>
      <c r="E13" s="593"/>
      <c r="F13" s="593"/>
      <c r="G13" s="593"/>
      <c r="H13" s="593"/>
      <c r="I13" s="593"/>
      <c r="J13" s="593"/>
      <c r="K13" s="64">
        <v>500</v>
      </c>
      <c r="L13" s="64">
        <v>700</v>
      </c>
      <c r="N13" s="109">
        <f t="shared" si="0"/>
        <v>546869400</v>
      </c>
      <c r="O13" s="111">
        <f>'CALCULO TARIFA FINAL'!C40</f>
        <v>2944500</v>
      </c>
    </row>
    <row r="14" spans="1:18" ht="44.45" customHeight="1" x14ac:dyDescent="0.3">
      <c r="A14" s="99" t="s">
        <v>397</v>
      </c>
      <c r="B14" s="213">
        <f>B16+B17+B18+B19+B20</f>
        <v>0</v>
      </c>
      <c r="D14" s="593" t="s">
        <v>410</v>
      </c>
      <c r="E14" s="593"/>
      <c r="F14" s="593"/>
      <c r="G14" s="593"/>
      <c r="H14" s="593"/>
      <c r="I14" s="593"/>
      <c r="J14" s="593"/>
      <c r="K14" s="64">
        <v>700</v>
      </c>
      <c r="L14" s="64">
        <v>900</v>
      </c>
      <c r="N14" s="109">
        <f t="shared" si="0"/>
        <v>703117800</v>
      </c>
      <c r="O14" s="111">
        <f>'CALCULO TARIFA FINAL'!C41</f>
        <v>3785900</v>
      </c>
    </row>
    <row r="15" spans="1:18" ht="43.15" customHeight="1" x14ac:dyDescent="0.3">
      <c r="A15" s="98"/>
      <c r="B15" s="106"/>
      <c r="D15" s="593" t="s">
        <v>411</v>
      </c>
      <c r="E15" s="593"/>
      <c r="F15" s="593"/>
      <c r="G15" s="593"/>
      <c r="H15" s="593"/>
      <c r="I15" s="593"/>
      <c r="J15" s="593"/>
      <c r="K15" s="64">
        <v>900</v>
      </c>
      <c r="L15" s="64">
        <v>1500</v>
      </c>
      <c r="N15" s="109">
        <f t="shared" si="0"/>
        <v>1171863000</v>
      </c>
      <c r="O15" s="111">
        <f>'CALCULO TARIFA FINAL'!C42</f>
        <v>6310200</v>
      </c>
    </row>
    <row r="16" spans="1:18" ht="40.15" customHeight="1" x14ac:dyDescent="0.3">
      <c r="A16" s="105" t="s">
        <v>398</v>
      </c>
      <c r="B16" s="215"/>
      <c r="D16" s="593" t="s">
        <v>412</v>
      </c>
      <c r="E16" s="593"/>
      <c r="F16" s="593"/>
      <c r="G16" s="593"/>
      <c r="H16" s="593"/>
      <c r="I16" s="593"/>
      <c r="J16" s="593"/>
      <c r="K16" s="64">
        <v>1500</v>
      </c>
      <c r="L16" s="64">
        <v>2114.9998999999998</v>
      </c>
      <c r="N16" s="109">
        <f t="shared" si="0"/>
        <v>1652326751.8757999</v>
      </c>
      <c r="O16" s="111">
        <f>'CALCULO TARIFA FINAL'!C43</f>
        <v>8897500</v>
      </c>
    </row>
    <row r="17" spans="1:15" ht="29.45" customHeight="1" x14ac:dyDescent="0.35">
      <c r="A17" s="105" t="s">
        <v>399</v>
      </c>
      <c r="B17" s="104"/>
      <c r="H17" s="591" t="s">
        <v>415</v>
      </c>
      <c r="I17" s="591"/>
      <c r="J17" s="591"/>
      <c r="K17" s="64" t="s">
        <v>416</v>
      </c>
      <c r="L17" s="64">
        <v>2115</v>
      </c>
      <c r="N17" s="109">
        <f>L17*bdMacroeconomicos!C12</f>
        <v>1652326830</v>
      </c>
      <c r="O17" s="110">
        <f>N17*0.006</f>
        <v>9913960.9800000004</v>
      </c>
    </row>
    <row r="18" spans="1:15" ht="29.45" customHeight="1" x14ac:dyDescent="0.35">
      <c r="A18" s="105" t="s">
        <v>400</v>
      </c>
      <c r="B18" s="104"/>
      <c r="H18" s="592" t="s">
        <v>415</v>
      </c>
      <c r="I18" s="591"/>
      <c r="J18" s="591"/>
      <c r="K18" s="64">
        <v>2115</v>
      </c>
      <c r="L18" s="64">
        <v>8457.9999000000007</v>
      </c>
      <c r="M18" s="109">
        <f>K18*781242</f>
        <v>1652326830</v>
      </c>
      <c r="N18" s="109">
        <f>L18*bdMacroeconomicos!C12</f>
        <v>6607744757.8758001</v>
      </c>
      <c r="O18" s="110">
        <f>N18*0.005</f>
        <v>33038723.789379001</v>
      </c>
    </row>
    <row r="19" spans="1:15" ht="29.45" customHeight="1" x14ac:dyDescent="0.35">
      <c r="A19" s="105" t="s">
        <v>401</v>
      </c>
      <c r="B19" s="104"/>
      <c r="H19" s="591" t="s">
        <v>415</v>
      </c>
      <c r="I19" s="591"/>
      <c r="J19" s="591"/>
      <c r="K19" s="64">
        <v>8458</v>
      </c>
      <c r="L19" s="64" t="s">
        <v>417</v>
      </c>
      <c r="M19" s="109"/>
      <c r="N19" s="109">
        <f>K19*bdMacroeconomicos!C12</f>
        <v>6607744836</v>
      </c>
      <c r="O19" s="110">
        <f>N19*0.004</f>
        <v>26430979.344000001</v>
      </c>
    </row>
    <row r="20" spans="1:15" ht="29.45" customHeight="1" x14ac:dyDescent="0.25">
      <c r="A20" s="105" t="s">
        <v>402</v>
      </c>
      <c r="B20" s="104"/>
    </row>
    <row r="21" spans="1:15" x14ac:dyDescent="0.25">
      <c r="A21" s="98"/>
    </row>
    <row r="22" spans="1:15" ht="60" x14ac:dyDescent="0.25">
      <c r="A22" s="97" t="s">
        <v>405</v>
      </c>
    </row>
    <row r="23" spans="1:15" x14ac:dyDescent="0.25">
      <c r="A23" s="98"/>
    </row>
    <row r="24" spans="1:15" ht="60" x14ac:dyDescent="0.25">
      <c r="A24" s="98" t="s">
        <v>406</v>
      </c>
    </row>
    <row r="25" spans="1:15" x14ac:dyDescent="0.25">
      <c r="A25" s="98"/>
    </row>
  </sheetData>
  <mergeCells count="12">
    <mergeCell ref="H17:J17"/>
    <mergeCell ref="H18:J18"/>
    <mergeCell ref="H19:J19"/>
    <mergeCell ref="D16:J16"/>
    <mergeCell ref="K1:Q1"/>
    <mergeCell ref="K2:R2"/>
    <mergeCell ref="K3:N3"/>
    <mergeCell ref="D11:I11"/>
    <mergeCell ref="D12:E12"/>
    <mergeCell ref="D13:J13"/>
    <mergeCell ref="D14:J14"/>
    <mergeCell ref="D15:J1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L20"/>
  <sheetViews>
    <sheetView workbookViewId="0">
      <selection activeCell="B17" sqref="B17"/>
    </sheetView>
  </sheetViews>
  <sheetFormatPr baseColWidth="10" defaultRowHeight="12.75" x14ac:dyDescent="0.2"/>
  <cols>
    <col min="3" max="3" width="12.85546875" bestFit="1" customWidth="1"/>
    <col min="5" max="5" width="11.42578125" style="148"/>
  </cols>
  <sheetData>
    <row r="1" spans="1:12" x14ac:dyDescent="0.2">
      <c r="A1" s="5" t="s">
        <v>702</v>
      </c>
    </row>
    <row r="2" spans="1:12" ht="51" x14ac:dyDescent="0.2">
      <c r="A2" s="175" t="s">
        <v>505</v>
      </c>
      <c r="B2" s="175" t="s">
        <v>99</v>
      </c>
      <c r="C2" s="175" t="s">
        <v>526</v>
      </c>
      <c r="D2" s="176" t="s">
        <v>659</v>
      </c>
    </row>
    <row r="3" spans="1:12" x14ac:dyDescent="0.2">
      <c r="A3">
        <v>2009</v>
      </c>
      <c r="B3" s="137">
        <v>0.02</v>
      </c>
      <c r="C3" s="174">
        <v>496900</v>
      </c>
      <c r="D3" s="137">
        <v>7.6700000000000004E-2</v>
      </c>
      <c r="F3" s="134"/>
    </row>
    <row r="4" spans="1:12" x14ac:dyDescent="0.2">
      <c r="A4">
        <v>2010</v>
      </c>
      <c r="B4" s="137">
        <v>3.1699999999999999E-2</v>
      </c>
      <c r="C4" s="148">
        <v>515000</v>
      </c>
      <c r="D4" s="137">
        <f t="shared" ref="D4:D15" si="0">C4/C3-1</f>
        <v>3.6425840209297622E-2</v>
      </c>
    </row>
    <row r="5" spans="1:12" x14ac:dyDescent="0.2">
      <c r="A5">
        <v>2011</v>
      </c>
      <c r="B5" s="137">
        <v>3.73E-2</v>
      </c>
      <c r="C5" s="148">
        <v>535600</v>
      </c>
      <c r="D5" s="137">
        <f t="shared" si="0"/>
        <v>4.0000000000000036E-2</v>
      </c>
      <c r="H5" s="5"/>
    </row>
    <row r="6" spans="1:12" x14ac:dyDescent="0.2">
      <c r="A6">
        <v>2012</v>
      </c>
      <c r="B6" s="137">
        <v>2.4400000000000002E-2</v>
      </c>
      <c r="C6" s="148">
        <v>566700</v>
      </c>
      <c r="D6" s="137">
        <f t="shared" si="0"/>
        <v>5.8065720687079825E-2</v>
      </c>
      <c r="L6" s="172"/>
    </row>
    <row r="7" spans="1:12" x14ac:dyDescent="0.2">
      <c r="A7">
        <v>2013</v>
      </c>
      <c r="B7" s="187">
        <v>1.9400000000000001E-2</v>
      </c>
      <c r="C7" s="148">
        <v>589500</v>
      </c>
      <c r="D7" s="137">
        <f t="shared" si="0"/>
        <v>4.0232927474854518E-2</v>
      </c>
      <c r="L7" s="172"/>
    </row>
    <row r="8" spans="1:12" x14ac:dyDescent="0.2">
      <c r="A8">
        <v>2014</v>
      </c>
      <c r="B8" s="137">
        <v>3.6600000000000001E-2</v>
      </c>
      <c r="C8" s="148">
        <v>616000</v>
      </c>
      <c r="D8" s="137">
        <f t="shared" si="0"/>
        <v>4.495335029686176E-2</v>
      </c>
      <c r="L8" s="172"/>
    </row>
    <row r="9" spans="1:12" x14ac:dyDescent="0.2">
      <c r="A9">
        <v>2015</v>
      </c>
      <c r="B9" s="137">
        <v>6.7699999999999996E-2</v>
      </c>
      <c r="C9" s="148">
        <v>644350</v>
      </c>
      <c r="D9" s="137">
        <f t="shared" si="0"/>
        <v>4.6022727272727382E-2</v>
      </c>
      <c r="L9" s="172"/>
    </row>
    <row r="10" spans="1:12" x14ac:dyDescent="0.2">
      <c r="A10">
        <v>2016</v>
      </c>
      <c r="B10" s="137">
        <v>5.7500000000000002E-2</v>
      </c>
      <c r="C10" s="148">
        <v>689455</v>
      </c>
      <c r="D10" s="137">
        <f>C10/C9-1</f>
        <v>7.0000775975789464E-2</v>
      </c>
      <c r="L10" s="172"/>
    </row>
    <row r="11" spans="1:12" x14ac:dyDescent="0.2">
      <c r="A11">
        <v>2017</v>
      </c>
      <c r="B11" s="137">
        <v>4.0899999999999999E-2</v>
      </c>
      <c r="C11" s="148">
        <v>737717</v>
      </c>
      <c r="D11" s="137">
        <f>C11/C10-1</f>
        <v>7.0000217563147782E-2</v>
      </c>
      <c r="F11" s="137"/>
      <c r="L11" s="172"/>
    </row>
    <row r="12" spans="1:12" x14ac:dyDescent="0.2">
      <c r="A12">
        <v>2018</v>
      </c>
      <c r="B12" s="137">
        <v>3.1800000000000002E-2</v>
      </c>
      <c r="C12" s="148">
        <v>781242</v>
      </c>
      <c r="D12" s="137">
        <f t="shared" si="0"/>
        <v>5.8999589273393438E-2</v>
      </c>
      <c r="F12" s="137"/>
      <c r="L12" s="172"/>
    </row>
    <row r="13" spans="1:12" x14ac:dyDescent="0.2">
      <c r="A13">
        <v>2019</v>
      </c>
      <c r="B13" s="137">
        <v>3.7999999999999999E-2</v>
      </c>
      <c r="C13" s="148">
        <v>828116</v>
      </c>
      <c r="D13" s="137">
        <f t="shared" si="0"/>
        <v>5.9999334393184167E-2</v>
      </c>
      <c r="F13" s="137"/>
      <c r="L13" s="172"/>
    </row>
    <row r="14" spans="1:12" x14ac:dyDescent="0.2">
      <c r="A14">
        <v>2020</v>
      </c>
      <c r="B14" s="137">
        <v>1.61E-2</v>
      </c>
      <c r="C14" s="148">
        <v>877803</v>
      </c>
      <c r="D14" s="137">
        <f>C14/C13-1</f>
        <v>6.0000048302411679E-2</v>
      </c>
      <c r="F14" s="137"/>
    </row>
    <row r="15" spans="1:12" x14ac:dyDescent="0.2">
      <c r="A15">
        <v>2021</v>
      </c>
      <c r="B15" s="137">
        <v>5.62E-2</v>
      </c>
      <c r="C15" s="148">
        <v>908526</v>
      </c>
      <c r="D15" s="137">
        <f t="shared" si="0"/>
        <v>3.4999880383183912E-2</v>
      </c>
    </row>
    <row r="16" spans="1:12" x14ac:dyDescent="0.2">
      <c r="A16">
        <v>2022</v>
      </c>
      <c r="B16" s="137">
        <v>0.13120000000000001</v>
      </c>
      <c r="C16" s="148">
        <v>1000000</v>
      </c>
      <c r="D16" s="137">
        <f>C16/C15-1</f>
        <v>0.10068396501586085</v>
      </c>
    </row>
    <row r="17" spans="1:4" x14ac:dyDescent="0.2">
      <c r="A17">
        <v>2023</v>
      </c>
      <c r="B17" s="370">
        <v>9.2799999999999994E-2</v>
      </c>
      <c r="C17" s="148">
        <v>1160000</v>
      </c>
      <c r="D17" s="137">
        <f>C17/C16-1</f>
        <v>0.15999999999999992</v>
      </c>
    </row>
    <row r="18" spans="1:4" x14ac:dyDescent="0.2">
      <c r="A18">
        <v>2024</v>
      </c>
      <c r="B18" s="310">
        <v>5.1999999999999998E-2</v>
      </c>
      <c r="C18" s="148">
        <v>1300000</v>
      </c>
      <c r="D18" s="137">
        <v>0.1207</v>
      </c>
    </row>
    <row r="19" spans="1:4" x14ac:dyDescent="0.2">
      <c r="A19">
        <v>2025</v>
      </c>
      <c r="B19" s="310">
        <v>5.0999999999999997E-2</v>
      </c>
      <c r="C19" s="148">
        <f>+C18*1.1207</f>
        <v>1456910</v>
      </c>
      <c r="D19" s="137">
        <v>0.23</v>
      </c>
    </row>
    <row r="20" spans="1:4" x14ac:dyDescent="0.2">
      <c r="A20">
        <v>2026</v>
      </c>
      <c r="C20" s="148">
        <v>1750905</v>
      </c>
      <c r="D20" s="13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18"/>
  <sheetViews>
    <sheetView workbookViewId="0">
      <selection activeCell="I4" sqref="I4"/>
    </sheetView>
  </sheetViews>
  <sheetFormatPr baseColWidth="10" defaultRowHeight="12.75" x14ac:dyDescent="0.2"/>
  <cols>
    <col min="1" max="1" width="30.7109375" customWidth="1"/>
    <col min="2" max="2" width="14.140625" hidden="1" customWidth="1"/>
    <col min="3" max="3" width="8.42578125" hidden="1" customWidth="1"/>
    <col min="4" max="4" width="10.28515625" bestFit="1" customWidth="1"/>
    <col min="5" max="5" width="14.140625" customWidth="1"/>
    <col min="6" max="6" width="8.28515625" customWidth="1"/>
    <col min="7" max="7" width="4.42578125" customWidth="1"/>
    <col min="8" max="8" width="4.5703125" customWidth="1"/>
    <col min="9" max="9" width="12.85546875" bestFit="1" customWidth="1"/>
  </cols>
  <sheetData>
    <row r="1" spans="1:9" ht="38.25" x14ac:dyDescent="0.2">
      <c r="E1" s="6" t="s">
        <v>62</v>
      </c>
      <c r="F1" s="6"/>
    </row>
    <row r="2" spans="1:9" x14ac:dyDescent="0.2">
      <c r="E2">
        <v>5.09</v>
      </c>
    </row>
    <row r="3" spans="1:9" ht="25.5" x14ac:dyDescent="0.2">
      <c r="A3" s="11" t="s">
        <v>0</v>
      </c>
      <c r="B3" s="12" t="s">
        <v>1</v>
      </c>
      <c r="C3" s="12" t="s">
        <v>2</v>
      </c>
      <c r="D3" s="12" t="s">
        <v>3</v>
      </c>
      <c r="E3" s="12" t="s">
        <v>4</v>
      </c>
      <c r="F3" s="12" t="s">
        <v>63</v>
      </c>
    </row>
    <row r="4" spans="1:9" x14ac:dyDescent="0.2">
      <c r="A4" s="1" t="s">
        <v>5</v>
      </c>
      <c r="B4" s="13" t="s">
        <v>6</v>
      </c>
      <c r="C4" s="2">
        <v>15</v>
      </c>
      <c r="D4" s="2">
        <v>20</v>
      </c>
      <c r="E4" s="3">
        <v>7871474</v>
      </c>
      <c r="F4" s="3">
        <f>E4/30/8</f>
        <v>32797.808333333334</v>
      </c>
    </row>
    <row r="5" spans="1:9" x14ac:dyDescent="0.2">
      <c r="A5" s="1" t="s">
        <v>7</v>
      </c>
      <c r="B5" s="13" t="s">
        <v>6</v>
      </c>
      <c r="C5" s="2">
        <v>40</v>
      </c>
      <c r="D5" s="2">
        <v>14</v>
      </c>
      <c r="E5" s="3">
        <v>5623182</v>
      </c>
      <c r="F5" s="3">
        <f t="shared" ref="F5:F18" si="0">E5/30/8</f>
        <v>23429.924999999999</v>
      </c>
    </row>
    <row r="6" spans="1:9" x14ac:dyDescent="0.2">
      <c r="A6" s="1" t="s">
        <v>8</v>
      </c>
      <c r="B6" s="13" t="s">
        <v>6</v>
      </c>
      <c r="C6" s="2">
        <v>137</v>
      </c>
      <c r="D6" s="2">
        <v>10</v>
      </c>
      <c r="E6" s="3">
        <v>4882176</v>
      </c>
      <c r="F6" s="3">
        <f t="shared" si="0"/>
        <v>20342.400000000001</v>
      </c>
    </row>
    <row r="7" spans="1:9" x14ac:dyDescent="0.2">
      <c r="A7" s="1" t="s">
        <v>9</v>
      </c>
      <c r="B7" s="13" t="s">
        <v>9</v>
      </c>
      <c r="C7" s="2">
        <v>1020</v>
      </c>
      <c r="D7" s="2">
        <v>3</v>
      </c>
      <c r="E7" s="3">
        <v>3465736</v>
      </c>
      <c r="F7" s="3">
        <f t="shared" si="0"/>
        <v>14440.566666666668</v>
      </c>
    </row>
    <row r="8" spans="1:9" x14ac:dyDescent="0.2">
      <c r="A8" s="1" t="s">
        <v>10</v>
      </c>
      <c r="B8" s="13" t="s">
        <v>11</v>
      </c>
      <c r="C8" s="2">
        <v>2028</v>
      </c>
      <c r="D8" s="2">
        <v>13</v>
      </c>
      <c r="E8" s="3">
        <v>3360741</v>
      </c>
      <c r="F8" s="3">
        <f t="shared" si="0"/>
        <v>14003.0875</v>
      </c>
      <c r="I8" s="134"/>
    </row>
    <row r="9" spans="1:9" x14ac:dyDescent="0.2">
      <c r="A9" s="1" t="s">
        <v>12</v>
      </c>
      <c r="B9" s="13" t="s">
        <v>11</v>
      </c>
      <c r="C9" s="2">
        <v>2044</v>
      </c>
      <c r="D9" s="2">
        <v>11</v>
      </c>
      <c r="E9" s="3">
        <v>2923678</v>
      </c>
      <c r="F9" s="3">
        <f t="shared" si="0"/>
        <v>12181.991666666667</v>
      </c>
    </row>
    <row r="10" spans="1:9" x14ac:dyDescent="0.2">
      <c r="A10" s="1" t="s">
        <v>12</v>
      </c>
      <c r="B10" s="13" t="s">
        <v>11</v>
      </c>
      <c r="C10" s="2">
        <v>2044</v>
      </c>
      <c r="D10" s="2">
        <v>8</v>
      </c>
      <c r="E10" s="3">
        <v>2601023</v>
      </c>
      <c r="F10" s="3">
        <f t="shared" si="0"/>
        <v>10837.595833333333</v>
      </c>
    </row>
    <row r="11" spans="1:9" x14ac:dyDescent="0.2">
      <c r="A11" s="1" t="s">
        <v>13</v>
      </c>
      <c r="B11" s="13" t="s">
        <v>14</v>
      </c>
      <c r="C11" s="2">
        <v>3124</v>
      </c>
      <c r="D11" s="2">
        <v>16</v>
      </c>
      <c r="E11" s="3">
        <v>2314296</v>
      </c>
      <c r="F11" s="3">
        <f t="shared" si="0"/>
        <v>9642.9</v>
      </c>
    </row>
    <row r="12" spans="1:9" x14ac:dyDescent="0.2">
      <c r="A12" s="1" t="s">
        <v>13</v>
      </c>
      <c r="B12" s="13" t="s">
        <v>14</v>
      </c>
      <c r="C12" s="2">
        <v>3124</v>
      </c>
      <c r="D12" s="2">
        <v>14</v>
      </c>
      <c r="E12" s="3">
        <v>1959861</v>
      </c>
      <c r="F12" s="3">
        <f t="shared" si="0"/>
        <v>8166.0874999999996</v>
      </c>
    </row>
    <row r="13" spans="1:9" x14ac:dyDescent="0.2">
      <c r="A13" s="1" t="s">
        <v>15</v>
      </c>
      <c r="B13" s="13" t="s">
        <v>16</v>
      </c>
      <c r="C13" s="2">
        <v>4210</v>
      </c>
      <c r="D13" s="2">
        <v>18</v>
      </c>
      <c r="E13" s="3">
        <v>1586023</v>
      </c>
      <c r="F13" s="3">
        <f t="shared" si="0"/>
        <v>6608.4291666666668</v>
      </c>
    </row>
    <row r="14" spans="1:9" x14ac:dyDescent="0.2">
      <c r="A14" s="1" t="s">
        <v>15</v>
      </c>
      <c r="B14" s="13" t="s">
        <v>16</v>
      </c>
      <c r="C14" s="2">
        <v>4210</v>
      </c>
      <c r="D14" s="2">
        <v>16</v>
      </c>
      <c r="E14" s="3">
        <v>1515625</v>
      </c>
      <c r="F14" s="3">
        <f t="shared" si="0"/>
        <v>6315.104166666667</v>
      </c>
    </row>
    <row r="15" spans="1:9" x14ac:dyDescent="0.2">
      <c r="A15" s="4" t="s">
        <v>17</v>
      </c>
      <c r="B15" s="13" t="s">
        <v>16</v>
      </c>
      <c r="C15" s="2">
        <v>4178</v>
      </c>
      <c r="D15" s="2">
        <v>14</v>
      </c>
      <c r="E15" s="3">
        <v>1407362</v>
      </c>
      <c r="F15" s="3">
        <f t="shared" si="0"/>
        <v>5864.0083333333332</v>
      </c>
    </row>
    <row r="16" spans="1:9" x14ac:dyDescent="0.2">
      <c r="A16" s="1" t="s">
        <v>18</v>
      </c>
      <c r="B16" s="13" t="s">
        <v>16</v>
      </c>
      <c r="C16" s="2">
        <v>4169</v>
      </c>
      <c r="D16" s="2">
        <v>15</v>
      </c>
      <c r="E16" s="3">
        <v>1451106</v>
      </c>
      <c r="F16" s="3">
        <f t="shared" si="0"/>
        <v>6046.2749999999996</v>
      </c>
    </row>
    <row r="17" spans="1:6" x14ac:dyDescent="0.2">
      <c r="A17" s="1" t="s">
        <v>18</v>
      </c>
      <c r="B17" s="13" t="s">
        <v>16</v>
      </c>
      <c r="C17" s="2">
        <v>4169</v>
      </c>
      <c r="D17" s="2">
        <v>11</v>
      </c>
      <c r="E17" s="3">
        <v>1242451</v>
      </c>
      <c r="F17" s="3">
        <f t="shared" si="0"/>
        <v>5176.8791666666666</v>
      </c>
    </row>
    <row r="18" spans="1:6" x14ac:dyDescent="0.2">
      <c r="A18" s="1" t="s">
        <v>19</v>
      </c>
      <c r="B18" s="13" t="s">
        <v>16</v>
      </c>
      <c r="C18" s="2">
        <v>4064</v>
      </c>
      <c r="D18" s="2">
        <v>11</v>
      </c>
      <c r="E18" s="3">
        <v>1242451</v>
      </c>
      <c r="F18" s="3">
        <f t="shared" si="0"/>
        <v>5176.8791666666666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vt:i4>
      </vt:variant>
    </vt:vector>
  </HeadingPairs>
  <TitlesOfParts>
    <vt:vector size="13" baseType="lpstr">
      <vt:lpstr> R-FC-88</vt:lpstr>
      <vt:lpstr>Instructivo</vt:lpstr>
      <vt:lpstr>CALCULO TARIFA FINAL</vt:lpstr>
      <vt:lpstr>Calculos</vt:lpstr>
      <vt:lpstr>Tabla Honorarios 2023</vt:lpstr>
      <vt:lpstr>TablaViaticos2021</vt:lpstr>
      <vt:lpstr>TarifasTransporte</vt:lpstr>
      <vt:lpstr>Tarifaslab</vt:lpstr>
      <vt:lpstr>VALOR DEL PROYECTO</vt:lpstr>
      <vt:lpstr>bdMacroeconomicos</vt:lpstr>
      <vt:lpstr>Tablasalarios2018</vt:lpstr>
      <vt:lpstr>' R-FC-88'!Área_de_impresión</vt:lpstr>
      <vt:lpstr>Tablasalarios2018!Profesionales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Islena del Pilar Díaz Verona</dc:creator>
  <cp:lastModifiedBy>Katherin Betancur Henao</cp:lastModifiedBy>
  <cp:lastPrinted>2019-09-27T16:48:22Z</cp:lastPrinted>
  <dcterms:created xsi:type="dcterms:W3CDTF">2018-07-18T19:06:33Z</dcterms:created>
  <dcterms:modified xsi:type="dcterms:W3CDTF">2026-04-27T15:35:11Z</dcterms:modified>
</cp:coreProperties>
</file>