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Mi unidad\2026\3. Rev Doc y Form SGC\5.Laboratorio Analisis de Agua\Estos sí\"/>
    </mc:Choice>
  </mc:AlternateContent>
  <bookViews>
    <workbookView xWindow="0" yWindow="0" windowWidth="7470" windowHeight="1500"/>
  </bookViews>
  <sheets>
    <sheet name="FQ" sheetId="1" r:id="rId1"/>
    <sheet name="MB" sheetId="2" r:id="rId2"/>
  </sheets>
  <calcPr calcId="162913"/>
  <extLst>
    <ext uri="GoogleSheetsCustomDataVersion2">
      <go:sheetsCustomData xmlns:go="http://customooxmlschemas.google.com/" r:id="rId6" roundtripDataChecksum="v25gLXVHDnH0RbrKbGn4yAntYTxEatJa/S2J2eISr5Y="/>
    </ext>
  </extLst>
</workbook>
</file>

<file path=xl/calcChain.xml><?xml version="1.0" encoding="utf-8"?>
<calcChain xmlns="http://schemas.openxmlformats.org/spreadsheetml/2006/main">
  <c r="B102" i="2" l="1"/>
  <c r="B101" i="2"/>
  <c r="B100" i="2"/>
  <c r="B99" i="2"/>
  <c r="B98" i="2"/>
  <c r="B97" i="2"/>
  <c r="B96" i="2"/>
  <c r="B95" i="2"/>
  <c r="B94" i="2"/>
  <c r="B93" i="2"/>
  <c r="E83" i="2"/>
  <c r="E84" i="2" s="1"/>
  <c r="E82" i="2"/>
  <c r="E52" i="2"/>
  <c r="E48" i="2"/>
  <c r="E49" i="2" s="1"/>
  <c r="E47" i="2"/>
  <c r="E46" i="2"/>
  <c r="F73" i="1"/>
  <c r="C67" i="1"/>
  <c r="F65" i="1"/>
  <c r="F64" i="1"/>
  <c r="K63" i="1"/>
  <c r="K66" i="1" s="1"/>
  <c r="F63" i="1"/>
  <c r="C60" i="1"/>
  <c r="F56" i="1"/>
  <c r="K55" i="1"/>
  <c r="C53" i="1"/>
  <c r="F50" i="1"/>
  <c r="K46" i="1"/>
  <c r="C46" i="1"/>
  <c r="F43" i="1"/>
  <c r="K38" i="1"/>
  <c r="C38" i="1"/>
  <c r="C39" i="1" s="1"/>
  <c r="K37" i="1"/>
  <c r="K39" i="1" s="1"/>
  <c r="F37" i="1"/>
  <c r="F30" i="1"/>
  <c r="K29" i="1"/>
  <c r="C29" i="1"/>
  <c r="C28" i="1"/>
  <c r="F26" i="1"/>
  <c r="F27" i="1" s="1"/>
  <c r="F25" i="1"/>
  <c r="F24" i="1"/>
  <c r="F28" i="1" s="1"/>
  <c r="F22" i="1"/>
  <c r="F23" i="1" s="1"/>
  <c r="K21" i="1"/>
  <c r="F20" i="1"/>
  <c r="G19" i="1" s="1"/>
  <c r="C18" i="1"/>
  <c r="C17" i="1"/>
  <c r="C19" i="1" s="1"/>
  <c r="G15" i="1"/>
  <c r="K12" i="1"/>
  <c r="K11" i="1"/>
  <c r="K13" i="1" s="1"/>
  <c r="G11" i="1"/>
  <c r="C11" i="1"/>
  <c r="G16" i="1" l="1"/>
  <c r="F21" i="1"/>
  <c r="G17" i="1"/>
  <c r="E54" i="2"/>
  <c r="G18" i="1"/>
  <c r="E55" i="2"/>
  <c r="E56" i="2" s="1"/>
  <c r="E57" i="2" s="1"/>
  <c r="E58" i="2" s="1"/>
  <c r="G12" i="1"/>
  <c r="G13" i="1"/>
  <c r="G10" i="1"/>
  <c r="G14" i="1"/>
  <c r="H14" i="1" l="1"/>
  <c r="H19" i="1"/>
  <c r="H18" i="1"/>
  <c r="H13" i="1"/>
  <c r="H17" i="1"/>
  <c r="H12" i="1"/>
  <c r="H16" i="1"/>
  <c r="H11" i="1"/>
  <c r="H15" i="1"/>
  <c r="H10" i="1"/>
  <c r="F29" i="1" s="1"/>
  <c r="F31" i="1" s="1"/>
</calcChain>
</file>

<file path=xl/sharedStrings.xml><?xml version="1.0" encoding="utf-8"?>
<sst xmlns="http://schemas.openxmlformats.org/spreadsheetml/2006/main" count="228" uniqueCount="189">
  <si>
    <t>PLANTILLA DE CÁLCULOS GENERALES</t>
  </si>
  <si>
    <t>R-7.11-02</t>
  </si>
  <si>
    <t>02</t>
  </si>
  <si>
    <t>CÁLCULOS PARA ESTÁNDARES - BLANCOS ENRIQUECIDOS - LFB</t>
  </si>
  <si>
    <t>CÁLCULOS PARA MUESTRAS - MUESTRAS ENRIQUECIDAS - LFM</t>
  </si>
  <si>
    <t>CÁLCULO DE % DE ERROR - LFB</t>
  </si>
  <si>
    <t>CÁLCULOS ESTADÍSTICOS PARA VARIOS DATOS - LFB</t>
  </si>
  <si>
    <t>CÁLCULO DE RPD - MUESTRAS - LFM</t>
  </si>
  <si>
    <t>LFB Teórico</t>
  </si>
  <si>
    <t>Valor Teórico</t>
  </si>
  <si>
    <t>T1</t>
  </si>
  <si>
    <t>T1 ABS</t>
  </si>
  <si>
    <t>Concentración determinada</t>
  </si>
  <si>
    <t>LFB Experimental</t>
  </si>
  <si>
    <t>Valor 1</t>
  </si>
  <si>
    <t>Concentración determinada Duplicado</t>
  </si>
  <si>
    <t>% ERROR</t>
  </si>
  <si>
    <t>Valor 2</t>
  </si>
  <si>
    <t>Diferencia</t>
  </si>
  <si>
    <t>Valor 3</t>
  </si>
  <si>
    <t>Promedio</t>
  </si>
  <si>
    <t>Valor 4</t>
  </si>
  <si>
    <t>% RPD</t>
  </si>
  <si>
    <t>CÁLCULO DE RPD - LFB</t>
  </si>
  <si>
    <t>Valor 5</t>
  </si>
  <si>
    <t xml:space="preserve">LFB </t>
  </si>
  <si>
    <t>Valor 6</t>
  </si>
  <si>
    <t>CÁLCULO DE PORCENTAJE DE RECUPERACIÓN - LFM</t>
  </si>
  <si>
    <t>LFB Duplicado</t>
  </si>
  <si>
    <t>Valor 7</t>
  </si>
  <si>
    <t>Volumen de la muestra (mL)</t>
  </si>
  <si>
    <t>Valor 8</t>
  </si>
  <si>
    <t>Volumen adicionado (mL)</t>
  </si>
  <si>
    <t>Valor 9</t>
  </si>
  <si>
    <t>Concentración de la muestra sin adición</t>
  </si>
  <si>
    <t>Valor 10</t>
  </si>
  <si>
    <t>Concentración de la muestra con adición</t>
  </si>
  <si>
    <t>PROMEDIO</t>
  </si>
  <si>
    <t>Concentración del estándar adicionado</t>
  </si>
  <si>
    <t>%ERROR</t>
  </si>
  <si>
    <t>% RECUPERACIÓN</t>
  </si>
  <si>
    <t>ESTANDARIZACIÓN DE SOLUCIONES TITULANTES GENERALES</t>
  </si>
  <si>
    <t>DESVIACIÓN ESTÁNDAR</t>
  </si>
  <si>
    <t>Concentración de la solución a titular</t>
  </si>
  <si>
    <t>COEFICIENTE DE VARIACIÓN</t>
  </si>
  <si>
    <t>Volumen de la solución a titular (mL)</t>
  </si>
  <si>
    <t>N° DATOS</t>
  </si>
  <si>
    <t>CÁLCULOS DE ALCALINIDAD - BLANCOS &lt; 20 mg/L</t>
  </si>
  <si>
    <t>Volumen 1 experimental del titulante (mL)</t>
  </si>
  <si>
    <t>VALOR MÍNIMO</t>
  </si>
  <si>
    <t>Concentración del H2SO4 N</t>
  </si>
  <si>
    <t>Volumen 2 experimental del titulante (mL)</t>
  </si>
  <si>
    <t>VALOR MÁXIMO</t>
  </si>
  <si>
    <t>mL de titulante para primer pH registrado ≈ 4.70 (B)</t>
  </si>
  <si>
    <t>Volumen 3 experimental del titulante (mL)</t>
  </si>
  <si>
    <t>INTERVALO</t>
  </si>
  <si>
    <t>mL de titulante para alcanzar un pH inferior en 0.3 unidades (C)</t>
  </si>
  <si>
    <t>GRADOS DE LIBERTAD</t>
  </si>
  <si>
    <t>CONCENTRACIÓN DEL TITULANTE</t>
  </si>
  <si>
    <t>T ALTO</t>
  </si>
  <si>
    <t>CONCENTRACIÓN ALCALINIDAD TOTAL</t>
  </si>
  <si>
    <t>T CRITICO</t>
  </si>
  <si>
    <t>GRUBBS</t>
  </si>
  <si>
    <t>ESTANDARIZACIÓN DE TITULANTE ALCALINIDAD - H2SO4</t>
  </si>
  <si>
    <t>CÁLCULOS DE ALCALINIDAD  &gt; 20 mg/L</t>
  </si>
  <si>
    <t>Volumen de la solución Na2CO3 0,05N (mL)</t>
  </si>
  <si>
    <t>CÁLCULOS DE CLORUROS TITULOMÉTRICOS</t>
  </si>
  <si>
    <t>gr de Na2CO3 pesados para preparar la solución de carbonato de sodio 0,05N</t>
  </si>
  <si>
    <t>Concentración del AgNO3</t>
  </si>
  <si>
    <t>mL de titulante para alcanzar un pH 8.3</t>
  </si>
  <si>
    <t>Volumen del AgNO3 (mL)</t>
  </si>
  <si>
    <t>mL de titulante para alcanzar un pH 4.3 o 4.6 o 4.9</t>
  </si>
  <si>
    <t>CONCENTRACIÓN CLORURO</t>
  </si>
  <si>
    <t>CONCENTRACIÓN ALCALINIDAD - CARBONATOS</t>
  </si>
  <si>
    <t>CONCENTRACIÓN ALCALINIDAD - BICARBONATOS</t>
  </si>
  <si>
    <t>CÁLCULOS DE DUREZAS TITULOMÉTRICAS</t>
  </si>
  <si>
    <t>Equivalente a 1 mL EDTA</t>
  </si>
  <si>
    <t>Volumen del EDTA (mL)</t>
  </si>
  <si>
    <t>CÁLCULOS DE SÓLIDOS TOTALES, SUSPENDIDOS Y DISUELTOS</t>
  </si>
  <si>
    <t>CÁLCULOS DE ACIDEZ - ESTÁNDARES BAJOS - MUESTRAS LIMPIAS</t>
  </si>
  <si>
    <t>Peso Inicial (mg)</t>
  </si>
  <si>
    <t>CONCENTRACIÓN DUREZA</t>
  </si>
  <si>
    <t>Concentración del Titulante N</t>
  </si>
  <si>
    <t>Peso Final (mg)</t>
  </si>
  <si>
    <t>Volumen de Titulante gastado en el proceso (mL)</t>
  </si>
  <si>
    <t xml:space="preserve">CONCENTRACIÓN SÓLIDOS </t>
  </si>
  <si>
    <t>CÁLCULOS DE CALCIO</t>
  </si>
  <si>
    <t>CONCENTRACIÓN ACIDEZ BAJA</t>
  </si>
  <si>
    <t>CÁLCULOS DE GRASAS Y ACEITES</t>
  </si>
  <si>
    <t xml:space="preserve">CÁLCULOS DE ACIDEZ </t>
  </si>
  <si>
    <t>Peso inicial del balón fondo plano (mg)</t>
  </si>
  <si>
    <t>CONCENTRACIÓN CALCIO</t>
  </si>
  <si>
    <t>Peso final del balón fondo plano (mg)</t>
  </si>
  <si>
    <t>Normalidad del H2SO4 usado en el ajuste de pH de la muestra</t>
  </si>
  <si>
    <t>CONCENTRACIÓN GRASAS Y ACEITES</t>
  </si>
  <si>
    <t>CÁLCULOS DE MAGNESIO</t>
  </si>
  <si>
    <t>Volumen de ácido sulfúrico gastado en el ajuste inicial de pH (mL)</t>
  </si>
  <si>
    <t>Dureza Total mg/L</t>
  </si>
  <si>
    <t>Dureza Cálcica mg/L</t>
  </si>
  <si>
    <t>CONCENTRACIÓN ACIDEZ</t>
  </si>
  <si>
    <t>CÁLCULOS DE HIDROCARBUROS</t>
  </si>
  <si>
    <t>CONCENTRACIÓN MAGNESIO</t>
  </si>
  <si>
    <t>CÁLCULOS DE CLOROFILA ɑ</t>
  </si>
  <si>
    <t>CÁLCULOS COLOR ISO</t>
  </si>
  <si>
    <t>Absorbancia 750 nm</t>
  </si>
  <si>
    <t>CONCENTRACIÓN HIDROCARBUROS</t>
  </si>
  <si>
    <t>Absorbancia 436 nm</t>
  </si>
  <si>
    <t>Absorbancia 664 nm</t>
  </si>
  <si>
    <t>Absorbancia 525 nm</t>
  </si>
  <si>
    <t>Absorbancia 647 nm</t>
  </si>
  <si>
    <t>Absorbancia 620 nm</t>
  </si>
  <si>
    <t>Absorbancia 630 nm</t>
  </si>
  <si>
    <t>CÁLCULOS DE DBO</t>
  </si>
  <si>
    <t>ɑ (436 nm)</t>
  </si>
  <si>
    <t>Ca</t>
  </si>
  <si>
    <t>Oxígeno inicial (mg/L)</t>
  </si>
  <si>
    <t>ɑ (525 nm)</t>
  </si>
  <si>
    <t>Volumen del extracto (mL)</t>
  </si>
  <si>
    <t>Oxígeno final (mg/L)</t>
  </si>
  <si>
    <t>ɑ (620 nm)</t>
  </si>
  <si>
    <t>Volumen diluído de la muestra en 300 mL</t>
  </si>
  <si>
    <t>CONCENTRACIÓN CLOROFILA ɑ</t>
  </si>
  <si>
    <t>CONCENTRACIÓN DBO</t>
  </si>
  <si>
    <t>CÁLCULOS DE OXÍGENO DISUELTO</t>
  </si>
  <si>
    <t>Concentración del titulante N</t>
  </si>
  <si>
    <t>Volumen del Titulante (mL)</t>
  </si>
  <si>
    <t>Volumen de la botella Winkler (mL)</t>
  </si>
  <si>
    <t>CONCENTRACIÓN OXÍGENO</t>
  </si>
  <si>
    <t>CÁLCULOS ESTADÍSTICOS PARA ESTUDIOS DE R&amp;R Y MUESTRAS ENRIQUECIDAS EN MICROBIOLOGÍA</t>
  </si>
  <si>
    <t>TEST DE GRUBBS</t>
  </si>
  <si>
    <r>
      <rPr>
        <b/>
        <sz val="11"/>
        <color theme="1"/>
        <rFont val="Aptos Narrow"/>
      </rPr>
      <t>Determinación:  coliformes (Incluida</t>
    </r>
    <r>
      <rPr>
        <b/>
        <i/>
        <sz val="11"/>
        <color theme="1"/>
        <rFont val="Aptos Narrow"/>
      </rPr>
      <t xml:space="preserve"> E.coli</t>
    </r>
    <r>
      <rPr>
        <b/>
        <sz val="11"/>
        <color theme="1"/>
        <rFont val="Aptos Narrow"/>
      </rPr>
      <t xml:space="preserve">), </t>
    </r>
    <r>
      <rPr>
        <b/>
        <i/>
        <sz val="11"/>
        <color theme="1"/>
        <rFont val="Aptos Narrow"/>
      </rPr>
      <t>E.coli</t>
    </r>
    <r>
      <rPr>
        <b/>
        <sz val="11"/>
        <color theme="1"/>
        <rFont val="Aptos Narrow"/>
      </rPr>
      <t>, Mesófilos,</t>
    </r>
    <r>
      <rPr>
        <b/>
        <i/>
        <sz val="11"/>
        <color theme="1"/>
        <rFont val="Aptos Narrow"/>
      </rPr>
      <t xml:space="preserve"> Pseudomonas aeruginosa…</t>
    </r>
  </si>
  <si>
    <t>Analisis</t>
  </si>
  <si>
    <t>PG (Pocillos Grandes , si aplica)</t>
  </si>
  <si>
    <t>PP (Pocillos Pequeños , si aplica)</t>
  </si>
  <si>
    <t>NMP/100mL, UFC/100mL</t>
  </si>
  <si>
    <t>Diferencia absoluta</t>
  </si>
  <si>
    <r>
      <rPr>
        <sz val="11"/>
        <color rgb="FF000000"/>
        <rFont val="Aptos Narrow"/>
      </rPr>
      <t>Media  (</t>
    </r>
    <r>
      <rPr>
        <i/>
        <sz val="11"/>
        <color theme="1"/>
        <rFont val="Aptos Narrow"/>
      </rPr>
      <t xml:space="preserve"> x̄</t>
    </r>
    <r>
      <rPr>
        <sz val="11"/>
        <color theme="1"/>
        <rFont val="Aptos Narrow"/>
      </rPr>
      <t xml:space="preserve"> )</t>
    </r>
  </si>
  <si>
    <r>
      <rPr>
        <sz val="11"/>
        <color rgb="FF000000"/>
        <rFont val="Aptos Narrow"/>
      </rPr>
      <t>Desviación estándar (</t>
    </r>
    <r>
      <rPr>
        <i/>
        <sz val="11"/>
        <color theme="1"/>
        <rFont val="Aptos Narrow"/>
      </rPr>
      <t xml:space="preserve"> s</t>
    </r>
    <r>
      <rPr>
        <sz val="11"/>
        <color theme="1"/>
        <rFont val="Aptos Narrow"/>
      </rPr>
      <t>)</t>
    </r>
  </si>
  <si>
    <t>valor máximo de la diferencia absoluta</t>
  </si>
  <si>
    <t>G calculado</t>
  </si>
  <si>
    <t>G crítico</t>
  </si>
  <si>
    <t>n</t>
  </si>
  <si>
    <t>α</t>
  </si>
  <si>
    <t>Grados de libertad (n-2)</t>
  </si>
  <si>
    <t>α/(2n)</t>
  </si>
  <si>
    <t>1-α(2n)</t>
  </si>
  <si>
    <r>
      <rPr>
        <sz val="11"/>
        <color rgb="FF000000"/>
        <rFont val="Aptos Narrow"/>
      </rPr>
      <t xml:space="preserve">valor </t>
    </r>
    <r>
      <rPr>
        <sz val="11"/>
        <color rgb="FF000000"/>
        <rFont val="Segoe UI"/>
      </rPr>
      <t>t</t>
    </r>
  </si>
  <si>
    <t>G critico</t>
  </si>
  <si>
    <t xml:space="preserve">CÁLCULOS ESTADÍSTICOS PARA VARIOS DATOS </t>
  </si>
  <si>
    <t>Analista, equipo, medio de cultivo o característica objeto de comparación</t>
  </si>
  <si>
    <r>
      <rPr>
        <b/>
        <sz val="11"/>
        <color theme="1"/>
        <rFont val="Aptos Narrow"/>
      </rPr>
      <t>Determinación:  coliformes (Incluida</t>
    </r>
    <r>
      <rPr>
        <b/>
        <i/>
        <sz val="11"/>
        <color theme="1"/>
        <rFont val="Aptos Narrow"/>
      </rPr>
      <t xml:space="preserve"> E.coli</t>
    </r>
    <r>
      <rPr>
        <b/>
        <sz val="11"/>
        <color theme="1"/>
        <rFont val="Aptos Narrow"/>
      </rPr>
      <t xml:space="preserve">), </t>
    </r>
    <r>
      <rPr>
        <b/>
        <i/>
        <sz val="11"/>
        <color theme="1"/>
        <rFont val="Aptos Narrow"/>
      </rPr>
      <t>E.coli</t>
    </r>
    <r>
      <rPr>
        <b/>
        <sz val="11"/>
        <color theme="1"/>
        <rFont val="Aptos Narrow"/>
      </rPr>
      <t>, Mesofilos,</t>
    </r>
    <r>
      <rPr>
        <b/>
        <i/>
        <sz val="11"/>
        <color theme="1"/>
        <rFont val="Aptos Narrow"/>
      </rPr>
      <t xml:space="preserve"> Pseudomonas aeruginosa</t>
    </r>
    <r>
      <rPr>
        <b/>
        <sz val="11"/>
        <color theme="1"/>
        <rFont val="Aptos Narrow"/>
      </rPr>
      <t>…</t>
    </r>
  </si>
  <si>
    <t>Ensayo</t>
  </si>
  <si>
    <t>PG (Pocillo Grandes , si aplica)</t>
  </si>
  <si>
    <t>LOG NMP/100mL</t>
  </si>
  <si>
    <t>Media</t>
  </si>
  <si>
    <t>Desviación Estándar</t>
  </si>
  <si>
    <t>Coeficiente de variación</t>
  </si>
  <si>
    <t>ANÁLISIS DE VARIANZAS</t>
  </si>
  <si>
    <r>
      <rPr>
        <b/>
        <sz val="11"/>
        <color theme="1"/>
        <rFont val="Calibri"/>
      </rPr>
      <t>Determinación:  coliformes (Incluida</t>
    </r>
    <r>
      <rPr>
        <b/>
        <i/>
        <sz val="11"/>
        <color theme="1"/>
        <rFont val="Calibri"/>
      </rPr>
      <t xml:space="preserve"> E.coli</t>
    </r>
    <r>
      <rPr>
        <b/>
        <sz val="11"/>
        <color theme="1"/>
        <rFont val="Calibri"/>
      </rPr>
      <t xml:space="preserve">), </t>
    </r>
    <r>
      <rPr>
        <b/>
        <i/>
        <sz val="11"/>
        <color theme="1"/>
        <rFont val="Calibri"/>
      </rPr>
      <t>E.coli,</t>
    </r>
    <r>
      <rPr>
        <b/>
        <sz val="11"/>
        <color theme="1"/>
        <rFont val="Calibri"/>
      </rPr>
      <t xml:space="preserve"> Mesófilos,</t>
    </r>
    <r>
      <rPr>
        <b/>
        <i/>
        <sz val="11"/>
        <color theme="1"/>
        <rFont val="Calibri"/>
      </rPr>
      <t xml:space="preserve"> Pseudomonas aeruginosa</t>
    </r>
    <r>
      <rPr>
        <b/>
        <sz val="11"/>
        <color theme="1"/>
        <rFont val="Calibri"/>
      </rPr>
      <t>...</t>
    </r>
  </si>
  <si>
    <t>Análisis de varianza de un factor para:___________________________________</t>
  </si>
  <si>
    <t>Analista, equipo, medio de cultivo o característica objeto de comparación 1</t>
  </si>
  <si>
    <t>Analista, equipo, medio de cultivo o característica objeto de comparación 2</t>
  </si>
  <si>
    <t>RESUMEN</t>
  </si>
  <si>
    <t>Grupos</t>
  </si>
  <si>
    <t>Cuenta</t>
  </si>
  <si>
    <t>Suma</t>
  </si>
  <si>
    <t>Varianza</t>
  </si>
  <si>
    <t>ANÁLISIS DE VARIANZA</t>
  </si>
  <si>
    <t>Origen de las variaciones</t>
  </si>
  <si>
    <t>Suma de cuadrados</t>
  </si>
  <si>
    <t>Grados de libertad</t>
  </si>
  <si>
    <t>Promedio de los cuadrados</t>
  </si>
  <si>
    <t>F</t>
  </si>
  <si>
    <t>Probabilidad</t>
  </si>
  <si>
    <t>Valor crítico para F</t>
  </si>
  <si>
    <t>Entre grupos</t>
  </si>
  <si>
    <t>Dentro de los grupos</t>
  </si>
  <si>
    <t>Total</t>
  </si>
  <si>
    <t xml:space="preserve">CÁLCULO DE PORCENTAJE DE RECUPERACIÓN </t>
  </si>
  <si>
    <r>
      <rPr>
        <b/>
        <sz val="11"/>
        <color theme="1"/>
        <rFont val="Calibri"/>
      </rPr>
      <t xml:space="preserve">Determinación:  Coliformes (Incluida </t>
    </r>
    <r>
      <rPr>
        <b/>
        <i/>
        <sz val="11"/>
        <color theme="1"/>
        <rFont val="Calibri"/>
      </rPr>
      <t>E.coli</t>
    </r>
    <r>
      <rPr>
        <b/>
        <sz val="11"/>
        <color theme="1"/>
        <rFont val="Calibri"/>
      </rPr>
      <t>),</t>
    </r>
    <r>
      <rPr>
        <b/>
        <i/>
        <sz val="11"/>
        <color theme="1"/>
        <rFont val="Calibri"/>
      </rPr>
      <t xml:space="preserve"> E.coli</t>
    </r>
    <r>
      <rPr>
        <b/>
        <sz val="11"/>
        <color theme="1"/>
        <rFont val="Calibri"/>
      </rPr>
      <t xml:space="preserve">, Mesófilos, </t>
    </r>
    <r>
      <rPr>
        <b/>
        <i/>
        <sz val="11"/>
        <color theme="1"/>
        <rFont val="Calibri"/>
      </rPr>
      <t>Pseudomonas aeruginosa.</t>
    </r>
    <r>
      <rPr>
        <b/>
        <sz val="11"/>
        <color theme="1"/>
        <rFont val="Calibri"/>
      </rPr>
      <t>..</t>
    </r>
  </si>
  <si>
    <t>Promedio Matriz + Inóculo o Cepa</t>
  </si>
  <si>
    <t xml:space="preserve">Analista, equipo, medio o característica objeto de comparación </t>
  </si>
  <si>
    <t>%R</t>
  </si>
  <si>
    <t>Promedio Matriz Sin Fortificar</t>
  </si>
  <si>
    <t>Promedio de Concentración  del Inóculo o Cepa</t>
  </si>
  <si>
    <t>Item</t>
  </si>
  <si>
    <r>
      <rPr>
        <sz val="11"/>
        <color theme="1"/>
        <rFont val="Calibri"/>
      </rPr>
      <t xml:space="preserve">Determinación:  Coliformes (Incluida </t>
    </r>
    <r>
      <rPr>
        <i/>
        <sz val="11"/>
        <color theme="1"/>
        <rFont val="Calibri"/>
      </rPr>
      <t>E.coli</t>
    </r>
    <r>
      <rPr>
        <sz val="11"/>
        <color theme="1"/>
        <rFont val="Calibri"/>
      </rPr>
      <t xml:space="preserve">), </t>
    </r>
    <r>
      <rPr>
        <i/>
        <sz val="11"/>
        <color theme="1"/>
        <rFont val="Calibri"/>
      </rPr>
      <t>E.coli</t>
    </r>
    <r>
      <rPr>
        <sz val="11"/>
        <color theme="1"/>
        <rFont val="Calibri"/>
      </rPr>
      <t xml:space="preserve">, Mesófilos, </t>
    </r>
    <r>
      <rPr>
        <i/>
        <sz val="11"/>
        <color theme="1"/>
        <rFont val="Calibri"/>
      </rPr>
      <t>Pseudomonas aeruginosa</t>
    </r>
    <r>
      <rPr>
        <sz val="11"/>
        <color theme="1"/>
        <rFont val="Calibri"/>
      </rPr>
      <t>…</t>
    </r>
  </si>
  <si>
    <r>
      <rPr>
        <sz val="11"/>
        <color theme="1"/>
        <rFont val="Calibri"/>
      </rPr>
      <t xml:space="preserve">Determinación: Coliformes (Incluida </t>
    </r>
    <r>
      <rPr>
        <i/>
        <sz val="11"/>
        <color theme="1"/>
        <rFont val="Calibri"/>
      </rPr>
      <t>E.coli</t>
    </r>
    <r>
      <rPr>
        <sz val="11"/>
        <color theme="1"/>
        <rFont val="Calibri"/>
      </rPr>
      <t xml:space="preserve">), </t>
    </r>
    <r>
      <rPr>
        <i/>
        <sz val="11"/>
        <color theme="1"/>
        <rFont val="Calibri"/>
      </rPr>
      <t>E.coli</t>
    </r>
    <r>
      <rPr>
        <sz val="11"/>
        <color theme="1"/>
        <rFont val="Calibri"/>
      </rPr>
      <t xml:space="preserve">, Mesofilos, </t>
    </r>
    <r>
      <rPr>
        <i/>
        <sz val="11"/>
        <color theme="1"/>
        <rFont val="Calibri"/>
      </rPr>
      <t>Pseudomonas aeruginosa</t>
    </r>
    <r>
      <rPr>
        <sz val="11"/>
        <color theme="1"/>
        <rFont val="Calibri"/>
      </rPr>
      <t>…</t>
    </r>
  </si>
  <si>
    <r>
      <rPr>
        <b/>
        <sz val="12"/>
        <color theme="1"/>
        <rFont val="Arial"/>
      </rPr>
      <t>Nota:</t>
    </r>
    <r>
      <rPr>
        <sz val="12"/>
        <color theme="1"/>
        <rFont val="Arial"/>
      </rPr>
      <t xml:space="preserve"> Las casillas y los recuadros deberán agregarse o eliminarse en función del número de repeticiones y/o determinaciones realizadas.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</si>
</sst>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0.0000"/>
    <numFmt numFmtId="166" formatCode="0.0"/>
  </numFmts>
  <fonts count="21">
    <font>
      <sz val="11"/>
      <color theme="1"/>
      <name val="Calibri"/>
      <scheme val="minor"/>
    </font>
    <font>
      <sz val="11"/>
      <color theme="1"/>
      <name val="Arial"/>
    </font>
    <font>
      <b/>
      <sz val="11"/>
      <color theme="1"/>
      <name val="Arial"/>
    </font>
    <font>
      <sz val="11"/>
      <name val="Calibri"/>
    </font>
    <font>
      <b/>
      <sz val="10"/>
      <color rgb="FF000000"/>
      <name val="Arial"/>
    </font>
    <font>
      <b/>
      <sz val="14"/>
      <color theme="1"/>
      <name val="Arial"/>
    </font>
    <font>
      <b/>
      <sz val="11"/>
      <color theme="1"/>
      <name val="Aptos Narrow"/>
    </font>
    <font>
      <sz val="11"/>
      <color theme="1"/>
      <name val="Calibri"/>
    </font>
    <font>
      <b/>
      <sz val="11"/>
      <color theme="1"/>
      <name val="Calibri"/>
    </font>
    <font>
      <sz val="11"/>
      <color theme="1"/>
      <name val="Aptos Narrow"/>
    </font>
    <font>
      <b/>
      <sz val="11"/>
      <color rgb="FF000000"/>
      <name val="Aptos Narrow"/>
    </font>
    <font>
      <sz val="11"/>
      <color rgb="FF000000"/>
      <name val="Arial"/>
    </font>
    <font>
      <sz val="11"/>
      <color theme="1"/>
      <name val="Calibri"/>
      <scheme val="minor"/>
    </font>
    <font>
      <i/>
      <sz val="11"/>
      <color theme="1"/>
      <name val="Calibri"/>
    </font>
    <font>
      <sz val="12"/>
      <color theme="1"/>
      <name val="Arial"/>
    </font>
    <font>
      <b/>
      <i/>
      <sz val="11"/>
      <color theme="1"/>
      <name val="Aptos Narrow"/>
    </font>
    <font>
      <sz val="11"/>
      <color rgb="FF000000"/>
      <name val="Aptos Narrow"/>
    </font>
    <font>
      <i/>
      <sz val="11"/>
      <color theme="1"/>
      <name val="Aptos Narrow"/>
    </font>
    <font>
      <sz val="11"/>
      <color rgb="FF000000"/>
      <name val="Segoe UI"/>
    </font>
    <font>
      <b/>
      <i/>
      <sz val="11"/>
      <color theme="1"/>
      <name val="Calibri"/>
    </font>
    <font>
      <b/>
      <sz val="12"/>
      <color theme="1"/>
      <name val="Arial"/>
    </font>
  </fonts>
  <fills count="22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  <fill>
      <patternFill patternType="solid">
        <fgColor rgb="FFC5E0B3"/>
        <bgColor rgb="FFC5E0B3"/>
      </patternFill>
    </fill>
    <fill>
      <patternFill patternType="solid">
        <fgColor rgb="FFCC99FF"/>
        <bgColor rgb="FFCC99FF"/>
      </patternFill>
    </fill>
    <fill>
      <patternFill patternType="solid">
        <fgColor rgb="FF00FFFF"/>
        <bgColor rgb="FF00FFFF"/>
      </patternFill>
    </fill>
    <fill>
      <patternFill patternType="solid">
        <fgColor rgb="FFFFE598"/>
        <bgColor rgb="FFFFE598"/>
      </patternFill>
    </fill>
    <fill>
      <patternFill patternType="solid">
        <fgColor rgb="FF99CCFF"/>
        <bgColor rgb="FF99CCFF"/>
      </patternFill>
    </fill>
    <fill>
      <patternFill patternType="solid">
        <fgColor rgb="FFD0CECE"/>
        <bgColor rgb="FFD0CECE"/>
      </patternFill>
    </fill>
    <fill>
      <patternFill patternType="solid">
        <fgColor rgb="FFB7B7E7"/>
        <bgColor rgb="FFB7B7E7"/>
      </patternFill>
    </fill>
    <fill>
      <patternFill patternType="solid">
        <fgColor rgb="FFD8D8D8"/>
        <bgColor rgb="FFD8D8D8"/>
      </patternFill>
    </fill>
    <fill>
      <patternFill patternType="solid">
        <fgColor rgb="FFC9E9D0"/>
        <bgColor rgb="FFC9E9D0"/>
      </patternFill>
    </fill>
    <fill>
      <patternFill patternType="solid">
        <fgColor rgb="FFA8D08D"/>
        <bgColor rgb="FFA8D08D"/>
      </patternFill>
    </fill>
    <fill>
      <patternFill patternType="solid">
        <fgColor rgb="FFFFD965"/>
        <bgColor rgb="FFFFD965"/>
      </patternFill>
    </fill>
    <fill>
      <patternFill patternType="solid">
        <fgColor rgb="FFFF9966"/>
        <bgColor rgb="FFFF9966"/>
      </patternFill>
    </fill>
    <fill>
      <patternFill patternType="solid">
        <fgColor rgb="FF9CC2E5"/>
        <bgColor rgb="FF9CC2E5"/>
      </patternFill>
    </fill>
    <fill>
      <patternFill patternType="solid">
        <fgColor rgb="FFB3B3B3"/>
        <bgColor rgb="FFB3B3B3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BFBFBF"/>
        <bgColor rgb="FFBFBFBF"/>
      </patternFill>
    </fill>
  </fills>
  <borders count="5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0">
    <xf numFmtId="0" fontId="0" fillId="0" borderId="0" xfId="0" applyFont="1" applyAlignme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 vertical="center" wrapText="1"/>
    </xf>
    <xf numFmtId="164" fontId="1" fillId="0" borderId="2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/>
    </xf>
    <xf numFmtId="2" fontId="1" fillId="0" borderId="5" xfId="0" applyNumberFormat="1" applyFont="1" applyBorder="1" applyAlignment="1">
      <alignment horizontal="center" vertical="center"/>
    </xf>
    <xf numFmtId="164" fontId="1" fillId="0" borderId="12" xfId="0" applyNumberFormat="1" applyFont="1" applyBorder="1" applyAlignment="1">
      <alignment horizontal="center" vertical="center" wrapText="1"/>
    </xf>
    <xf numFmtId="0" fontId="1" fillId="0" borderId="17" xfId="0" applyFont="1" applyBorder="1" applyAlignment="1">
      <alignment vertical="center"/>
    </xf>
    <xf numFmtId="2" fontId="1" fillId="0" borderId="19" xfId="0" applyNumberFormat="1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horizontal="center" vertical="center"/>
    </xf>
    <xf numFmtId="2" fontId="2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2" fontId="4" fillId="0" borderId="0" xfId="0" applyNumberFormat="1" applyFont="1" applyAlignment="1">
      <alignment horizontal="center" vertical="center" wrapText="1"/>
    </xf>
    <xf numFmtId="1" fontId="4" fillId="0" borderId="0" xfId="0" applyNumberFormat="1" applyFont="1" applyAlignment="1">
      <alignment horizontal="center" vertical="center" wrapText="1"/>
    </xf>
    <xf numFmtId="0" fontId="1" fillId="0" borderId="28" xfId="0" applyFont="1" applyBorder="1" applyAlignment="1">
      <alignment vertical="center"/>
    </xf>
    <xf numFmtId="164" fontId="1" fillId="0" borderId="29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6" borderId="6" xfId="0" applyFont="1" applyFill="1" applyBorder="1" applyAlignment="1">
      <alignment horizontal="center" vertical="center"/>
    </xf>
    <xf numFmtId="0" fontId="2" fillId="6" borderId="8" xfId="0" applyFont="1" applyFill="1" applyBorder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1" fillId="0" borderId="17" xfId="0" applyFont="1" applyBorder="1" applyAlignment="1">
      <alignment vertical="center" wrapText="1"/>
    </xf>
    <xf numFmtId="0" fontId="2" fillId="9" borderId="32" xfId="0" applyFont="1" applyFill="1" applyBorder="1" applyAlignment="1">
      <alignment horizontal="center" vertical="center" wrapText="1"/>
    </xf>
    <xf numFmtId="0" fontId="2" fillId="9" borderId="23" xfId="0" applyFont="1" applyFill="1" applyBorder="1" applyAlignment="1">
      <alignment horizontal="center" vertical="center" wrapText="1"/>
    </xf>
    <xf numFmtId="0" fontId="2" fillId="13" borderId="32" xfId="0" applyFont="1" applyFill="1" applyBorder="1" applyAlignment="1">
      <alignment horizontal="center" vertical="center"/>
    </xf>
    <xf numFmtId="0" fontId="2" fillId="13" borderId="23" xfId="0" applyFont="1" applyFill="1" applyBorder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1" fillId="0" borderId="13" xfId="0" applyFont="1" applyBorder="1" applyAlignment="1">
      <alignment vertical="center"/>
    </xf>
    <xf numFmtId="0" fontId="1" fillId="0" borderId="27" xfId="0" applyFont="1" applyBorder="1" applyAlignment="1">
      <alignment horizontal="center" vertical="center"/>
    </xf>
    <xf numFmtId="0" fontId="1" fillId="0" borderId="25" xfId="0" applyFont="1" applyBorder="1" applyAlignment="1">
      <alignment vertical="center"/>
    </xf>
    <xf numFmtId="0" fontId="1" fillId="0" borderId="26" xfId="0" applyFont="1" applyBorder="1" applyAlignment="1">
      <alignment horizontal="center" vertical="center"/>
    </xf>
    <xf numFmtId="0" fontId="2" fillId="15" borderId="32" xfId="0" applyFont="1" applyFill="1" applyBorder="1" applyAlignment="1">
      <alignment horizontal="center" vertical="center" wrapText="1"/>
    </xf>
    <xf numFmtId="0" fontId="2" fillId="15" borderId="23" xfId="0" applyFont="1" applyFill="1" applyBorder="1" applyAlignment="1">
      <alignment horizontal="center" vertical="center" wrapText="1"/>
    </xf>
    <xf numFmtId="0" fontId="7" fillId="17" borderId="41" xfId="0" applyFont="1" applyFill="1" applyBorder="1" applyAlignment="1">
      <alignment horizontal="center"/>
    </xf>
    <xf numFmtId="0" fontId="8" fillId="10" borderId="42" xfId="0" applyFont="1" applyFill="1" applyBorder="1" applyAlignment="1">
      <alignment horizontal="center"/>
    </xf>
    <xf numFmtId="0" fontId="8" fillId="10" borderId="43" xfId="0" applyFont="1" applyFill="1" applyBorder="1" applyAlignment="1">
      <alignment horizontal="center" vertical="center" wrapText="1"/>
    </xf>
    <xf numFmtId="0" fontId="8" fillId="10" borderId="44" xfId="0" applyFont="1" applyFill="1" applyBorder="1" applyAlignment="1">
      <alignment horizontal="center" vertical="center" wrapText="1"/>
    </xf>
    <xf numFmtId="0" fontId="8" fillId="10" borderId="45" xfId="0" applyFont="1" applyFill="1" applyBorder="1" applyAlignment="1">
      <alignment horizontal="center" vertical="center" wrapText="1"/>
    </xf>
    <xf numFmtId="0" fontId="8" fillId="10" borderId="46" xfId="0" applyFont="1" applyFill="1" applyBorder="1" applyAlignment="1">
      <alignment horizontal="center"/>
    </xf>
    <xf numFmtId="0" fontId="7" fillId="18" borderId="46" xfId="0" applyFont="1" applyFill="1" applyBorder="1" applyAlignment="1">
      <alignment horizontal="center"/>
    </xf>
    <xf numFmtId="166" fontId="7" fillId="18" borderId="46" xfId="0" applyNumberFormat="1" applyFont="1" applyFill="1" applyBorder="1" applyAlignment="1">
      <alignment horizontal="center"/>
    </xf>
    <xf numFmtId="166" fontId="7" fillId="0" borderId="46" xfId="0" applyNumberFormat="1" applyFont="1" applyBorder="1" applyAlignment="1">
      <alignment horizontal="center"/>
    </xf>
    <xf numFmtId="0" fontId="8" fillId="10" borderId="46" xfId="0" applyFont="1" applyFill="1" applyBorder="1" applyAlignment="1">
      <alignment horizontal="center" vertical="center"/>
    </xf>
    <xf numFmtId="0" fontId="8" fillId="10" borderId="43" xfId="0" applyFont="1" applyFill="1" applyBorder="1" applyAlignment="1">
      <alignment horizontal="center" vertical="center"/>
    </xf>
    <xf numFmtId="164" fontId="7" fillId="0" borderId="46" xfId="0" applyNumberFormat="1" applyFont="1" applyBorder="1" applyAlignment="1">
      <alignment horizontal="center"/>
    </xf>
    <xf numFmtId="0" fontId="12" fillId="0" borderId="0" xfId="0" applyFont="1"/>
    <xf numFmtId="1" fontId="7" fillId="10" borderId="46" xfId="0" applyNumberFormat="1" applyFont="1" applyFill="1" applyBorder="1" applyAlignment="1">
      <alignment horizontal="center" vertical="center" wrapText="1"/>
    </xf>
    <xf numFmtId="0" fontId="8" fillId="0" borderId="0" xfId="0" applyFont="1"/>
    <xf numFmtId="1" fontId="7" fillId="0" borderId="46" xfId="0" applyNumberFormat="1" applyFont="1" applyBorder="1" applyAlignment="1">
      <alignment horizontal="center" vertical="center"/>
    </xf>
    <xf numFmtId="0" fontId="7" fillId="0" borderId="46" xfId="0" applyFont="1" applyBorder="1" applyAlignment="1">
      <alignment horizontal="center" vertical="center"/>
    </xf>
    <xf numFmtId="0" fontId="13" fillId="0" borderId="53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37" xfId="0" applyFont="1" applyBorder="1" applyAlignment="1">
      <alignment horizontal="center"/>
    </xf>
    <xf numFmtId="0" fontId="13" fillId="0" borderId="53" xfId="0" applyFont="1" applyBorder="1" applyAlignment="1">
      <alignment horizontal="center" wrapText="1"/>
    </xf>
    <xf numFmtId="0" fontId="7" fillId="0" borderId="0" xfId="0" applyFont="1"/>
    <xf numFmtId="0" fontId="7" fillId="0" borderId="37" xfId="0" applyFont="1" applyBorder="1"/>
    <xf numFmtId="0" fontId="8" fillId="10" borderId="46" xfId="0" applyFont="1" applyFill="1" applyBorder="1" applyAlignment="1">
      <alignment horizontal="center" vertical="center" wrapText="1"/>
    </xf>
    <xf numFmtId="0" fontId="7" fillId="10" borderId="46" xfId="0" applyFont="1" applyFill="1" applyBorder="1" applyAlignment="1">
      <alignment horizontal="center"/>
    </xf>
    <xf numFmtId="0" fontId="7" fillId="0" borderId="46" xfId="0" applyFont="1" applyBorder="1" applyAlignment="1">
      <alignment horizontal="center"/>
    </xf>
    <xf numFmtId="2" fontId="7" fillId="0" borderId="46" xfId="0" applyNumberFormat="1" applyFont="1" applyBorder="1" applyAlignment="1">
      <alignment horizontal="center"/>
    </xf>
    <xf numFmtId="2" fontId="7" fillId="0" borderId="0" xfId="0" applyNumberFormat="1" applyFont="1"/>
    <xf numFmtId="0" fontId="7" fillId="10" borderId="46" xfId="0" applyFont="1" applyFill="1" applyBorder="1" applyAlignment="1">
      <alignment horizontal="center" wrapText="1"/>
    </xf>
    <xf numFmtId="0" fontId="7" fillId="10" borderId="46" xfId="0" applyFont="1" applyFill="1" applyBorder="1" applyAlignment="1">
      <alignment horizontal="center" wrapText="1"/>
    </xf>
    <xf numFmtId="0" fontId="2" fillId="0" borderId="0" xfId="0" applyFont="1" applyAlignment="1">
      <alignment horizontal="left" vertical="center"/>
    </xf>
    <xf numFmtId="0" fontId="0" fillId="0" borderId="0" xfId="0" applyFont="1" applyAlignment="1"/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2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2" fillId="11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12" borderId="1" xfId="0" applyFont="1" applyFill="1" applyBorder="1" applyAlignment="1">
      <alignment horizontal="center" vertical="center" wrapText="1"/>
    </xf>
    <xf numFmtId="0" fontId="2" fillId="1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3" fillId="0" borderId="34" xfId="0" applyFont="1" applyBorder="1"/>
    <xf numFmtId="0" fontId="3" fillId="0" borderId="35" xfId="0" applyFont="1" applyBorder="1"/>
    <xf numFmtId="0" fontId="3" fillId="0" borderId="36" xfId="0" applyFont="1" applyBorder="1"/>
    <xf numFmtId="0" fontId="3" fillId="0" borderId="37" xfId="0" applyFont="1" applyBorder="1"/>
    <xf numFmtId="0" fontId="3" fillId="0" borderId="38" xfId="0" applyFont="1" applyBorder="1"/>
    <xf numFmtId="0" fontId="6" fillId="16" borderId="18" xfId="0" applyFont="1" applyFill="1" applyBorder="1" applyAlignment="1">
      <alignment horizontal="center"/>
    </xf>
    <xf numFmtId="0" fontId="3" fillId="0" borderId="39" xfId="0" applyFont="1" applyBorder="1"/>
    <xf numFmtId="0" fontId="3" fillId="0" borderId="40" xfId="0" applyFont="1" applyBorder="1"/>
    <xf numFmtId="0" fontId="7" fillId="10" borderId="47" xfId="0" applyFont="1" applyFill="1" applyBorder="1" applyAlignment="1">
      <alignment horizontal="center"/>
    </xf>
    <xf numFmtId="0" fontId="3" fillId="0" borderId="48" xfId="0" applyFont="1" applyBorder="1"/>
    <xf numFmtId="0" fontId="3" fillId="0" borderId="49" xfId="0" applyFont="1" applyBorder="1"/>
    <xf numFmtId="166" fontId="7" fillId="19" borderId="18" xfId="0" applyNumberFormat="1" applyFont="1" applyFill="1" applyBorder="1" applyAlignment="1">
      <alignment horizontal="center"/>
    </xf>
    <xf numFmtId="165" fontId="7" fillId="19" borderId="18" xfId="0" applyNumberFormat="1" applyFont="1" applyFill="1" applyBorder="1" applyAlignment="1">
      <alignment horizontal="center"/>
    </xf>
    <xf numFmtId="0" fontId="9" fillId="10" borderId="47" xfId="0" applyFont="1" applyFill="1" applyBorder="1" applyAlignment="1">
      <alignment horizontal="center"/>
    </xf>
    <xf numFmtId="0" fontId="10" fillId="10" borderId="50" xfId="0" applyFont="1" applyFill="1" applyBorder="1" applyAlignment="1">
      <alignment horizontal="center"/>
    </xf>
    <xf numFmtId="0" fontId="3" fillId="0" borderId="51" xfId="0" applyFont="1" applyBorder="1"/>
    <xf numFmtId="0" fontId="3" fillId="0" borderId="52" xfId="0" applyFont="1" applyBorder="1"/>
    <xf numFmtId="0" fontId="10" fillId="10" borderId="18" xfId="0" applyFont="1" applyFill="1" applyBorder="1" applyAlignment="1">
      <alignment horizontal="center"/>
    </xf>
    <xf numFmtId="0" fontId="7" fillId="18" borderId="18" xfId="0" applyFont="1" applyFill="1" applyBorder="1" applyAlignment="1">
      <alignment horizontal="center"/>
    </xf>
    <xf numFmtId="0" fontId="7" fillId="10" borderId="18" xfId="0" applyFont="1" applyFill="1" applyBorder="1" applyAlignment="1">
      <alignment horizontal="center"/>
    </xf>
    <xf numFmtId="0" fontId="11" fillId="10" borderId="18" xfId="0" applyFont="1" applyFill="1" applyBorder="1" applyAlignment="1">
      <alignment horizontal="center"/>
    </xf>
    <xf numFmtId="165" fontId="7" fillId="18" borderId="18" xfId="0" applyNumberFormat="1" applyFont="1" applyFill="1" applyBorder="1" applyAlignment="1">
      <alignment horizontal="center"/>
    </xf>
    <xf numFmtId="0" fontId="8" fillId="20" borderId="18" xfId="0" applyFont="1" applyFill="1" applyBorder="1" applyAlignment="1">
      <alignment horizontal="center" vertical="center"/>
    </xf>
    <xf numFmtId="0" fontId="8" fillId="10" borderId="18" xfId="0" applyFont="1" applyFill="1" applyBorder="1" applyAlignment="1">
      <alignment horizontal="right" vertical="center"/>
    </xf>
    <xf numFmtId="165" fontId="7" fillId="0" borderId="18" xfId="0" applyNumberFormat="1" applyFont="1" applyBorder="1" applyAlignment="1">
      <alignment horizontal="center"/>
    </xf>
    <xf numFmtId="2" fontId="7" fillId="0" borderId="18" xfId="0" applyNumberFormat="1" applyFont="1" applyBorder="1" applyAlignment="1">
      <alignment horizontal="center"/>
    </xf>
    <xf numFmtId="0" fontId="8" fillId="21" borderId="18" xfId="0" applyFont="1" applyFill="1" applyBorder="1" applyAlignment="1">
      <alignment horizontal="center"/>
    </xf>
    <xf numFmtId="0" fontId="8" fillId="10" borderId="18" xfId="0" applyFont="1" applyFill="1" applyBorder="1" applyAlignment="1">
      <alignment horizontal="center" wrapText="1"/>
    </xf>
    <xf numFmtId="166" fontId="7" fillId="0" borderId="18" xfId="0" applyNumberFormat="1" applyFont="1" applyBorder="1" applyAlignment="1">
      <alignment horizontal="center"/>
    </xf>
    <xf numFmtId="0" fontId="14" fillId="0" borderId="0" xfId="0" applyFont="1" applyAlignment="1">
      <alignment horizontal="left" vertical="center"/>
    </xf>
    <xf numFmtId="0" fontId="8" fillId="20" borderId="18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/>
    </xf>
    <xf numFmtId="164" fontId="2" fillId="0" borderId="27" xfId="0" applyNumberFormat="1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/>
    </xf>
    <xf numFmtId="164" fontId="2" fillId="0" borderId="19" xfId="0" applyNumberFormat="1" applyFont="1" applyFill="1" applyBorder="1" applyAlignment="1">
      <alignment horizontal="center" vertical="center" wrapText="1"/>
    </xf>
    <xf numFmtId="2" fontId="2" fillId="0" borderId="19" xfId="0" applyNumberFormat="1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2" fontId="4" fillId="0" borderId="19" xfId="0" applyNumberFormat="1" applyFont="1" applyFill="1" applyBorder="1" applyAlignment="1">
      <alignment horizontal="center" vertical="center" wrapText="1"/>
    </xf>
    <xf numFmtId="1" fontId="4" fillId="0" borderId="19" xfId="0" applyNumberFormat="1" applyFont="1" applyFill="1" applyBorder="1" applyAlignment="1">
      <alignment horizontal="center" vertical="center" wrapText="1"/>
    </xf>
    <xf numFmtId="2" fontId="2" fillId="0" borderId="19" xfId="0" applyNumberFormat="1" applyFont="1" applyFill="1" applyBorder="1" applyAlignment="1">
      <alignment horizontal="center" vertical="center"/>
    </xf>
    <xf numFmtId="0" fontId="2" fillId="0" borderId="30" xfId="0" applyFont="1" applyFill="1" applyBorder="1" applyAlignment="1">
      <alignment horizontal="center" vertical="center"/>
    </xf>
    <xf numFmtId="2" fontId="2" fillId="0" borderId="31" xfId="0" applyNumberFormat="1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2" fontId="2" fillId="0" borderId="8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165" fontId="2" fillId="0" borderId="8" xfId="0" applyNumberFormat="1" applyFont="1" applyFill="1" applyBorder="1" applyAlignment="1">
      <alignment horizontal="center" vertical="center"/>
    </xf>
    <xf numFmtId="2" fontId="2" fillId="0" borderId="8" xfId="0" applyNumberFormat="1" applyFont="1" applyFill="1" applyBorder="1" applyAlignment="1">
      <alignment horizontal="center" vertical="center"/>
    </xf>
    <xf numFmtId="164" fontId="2" fillId="0" borderId="27" xfId="0" applyNumberFormat="1" applyFont="1" applyFill="1" applyBorder="1" applyAlignment="1">
      <alignment horizontal="center" vertical="center"/>
    </xf>
    <xf numFmtId="164" fontId="2" fillId="0" borderId="19" xfId="0" applyNumberFormat="1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horizontal="center" vertical="center"/>
    </xf>
    <xf numFmtId="164" fontId="2" fillId="0" borderId="26" xfId="0" applyNumberFormat="1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 wrapText="1"/>
    </xf>
    <xf numFmtId="2" fontId="2" fillId="0" borderId="23" xfId="0" applyNumberFormat="1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2" fontId="2" fillId="0" borderId="23" xfId="0" applyNumberFormat="1" applyFont="1" applyFill="1" applyBorder="1" applyAlignment="1">
      <alignment horizontal="center" vertical="center"/>
    </xf>
    <xf numFmtId="2" fontId="2" fillId="0" borderId="27" xfId="0" applyNumberFormat="1" applyFont="1" applyFill="1" applyBorder="1" applyAlignment="1">
      <alignment horizontal="center" vertical="center"/>
    </xf>
    <xf numFmtId="2" fontId="2" fillId="0" borderId="26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1047750</xdr:colOff>
      <xdr:row>1</xdr:row>
      <xdr:rowOff>57150</xdr:rowOff>
    </xdr:from>
    <xdr:ext cx="1057275" cy="4857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1047750</xdr:colOff>
      <xdr:row>1</xdr:row>
      <xdr:rowOff>57150</xdr:rowOff>
    </xdr:from>
    <xdr:ext cx="1057275" cy="4857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showGridLines="0" tabSelected="1" workbookViewId="0">
      <selection activeCell="J66" sqref="J66:K66"/>
    </sheetView>
  </sheetViews>
  <sheetFormatPr baseColWidth="10" defaultColWidth="14.42578125" defaultRowHeight="15" customHeight="1"/>
  <cols>
    <col min="1" max="1" width="6.28515625" customWidth="1"/>
    <col min="2" max="2" width="36" customWidth="1"/>
    <col min="3" max="3" width="31" customWidth="1"/>
    <col min="4" max="4" width="12.140625" customWidth="1"/>
    <col min="5" max="5" width="32" customWidth="1"/>
    <col min="6" max="6" width="30.42578125" customWidth="1"/>
    <col min="7" max="7" width="13.5703125" customWidth="1"/>
    <col min="8" max="8" width="21.42578125" customWidth="1"/>
    <col min="9" max="9" width="9.5703125" customWidth="1"/>
    <col min="10" max="10" width="47.28515625" customWidth="1"/>
    <col min="11" max="11" width="17.7109375" customWidth="1"/>
    <col min="12" max="12" width="15.5703125" customWidth="1"/>
    <col min="13" max="26" width="11.5703125" customWidth="1"/>
  </cols>
  <sheetData>
    <row r="1" spans="1:26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>
      <c r="A2" s="1"/>
      <c r="B2" s="1"/>
      <c r="C2" s="93" t="s">
        <v>0</v>
      </c>
      <c r="D2" s="94"/>
      <c r="E2" s="94"/>
      <c r="F2" s="94"/>
      <c r="G2" s="94"/>
      <c r="H2" s="94"/>
      <c r="I2" s="94"/>
      <c r="J2" s="94"/>
      <c r="K2" s="94"/>
      <c r="L2" s="94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25" customHeight="1">
      <c r="A3" s="1"/>
      <c r="B3" s="1"/>
      <c r="C3" s="2" t="s">
        <v>1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25" customHeight="1">
      <c r="A4" s="1"/>
      <c r="B4" s="1"/>
      <c r="C4" s="3" t="s">
        <v>2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2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.25" customHeight="1">
      <c r="A6" s="1"/>
      <c r="B6" s="95" t="s">
        <v>3</v>
      </c>
      <c r="C6" s="96"/>
      <c r="D6" s="96"/>
      <c r="E6" s="96"/>
      <c r="F6" s="97"/>
      <c r="G6" s="4"/>
      <c r="H6" s="4"/>
      <c r="I6" s="4"/>
      <c r="J6" s="98" t="s">
        <v>4</v>
      </c>
      <c r="K6" s="97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4.2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7" customHeight="1">
      <c r="A8" s="1"/>
      <c r="B8" s="99" t="s">
        <v>5</v>
      </c>
      <c r="C8" s="97"/>
      <c r="D8" s="1"/>
      <c r="E8" s="99" t="s">
        <v>6</v>
      </c>
      <c r="F8" s="97"/>
      <c r="G8" s="5"/>
      <c r="H8" s="5"/>
      <c r="I8" s="5"/>
      <c r="J8" s="100" t="s">
        <v>7</v>
      </c>
      <c r="K8" s="97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7.25" customHeight="1">
      <c r="A9" s="1"/>
      <c r="B9" s="6" t="s">
        <v>8</v>
      </c>
      <c r="C9" s="7"/>
      <c r="D9" s="1"/>
      <c r="E9" s="8" t="s">
        <v>9</v>
      </c>
      <c r="F9" s="9"/>
      <c r="G9" s="10" t="s">
        <v>10</v>
      </c>
      <c r="H9" s="11" t="s">
        <v>11</v>
      </c>
      <c r="I9" s="5"/>
      <c r="J9" s="12" t="s">
        <v>12</v>
      </c>
      <c r="K9" s="13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" customHeight="1">
      <c r="A10" s="1"/>
      <c r="B10" s="14" t="s">
        <v>13</v>
      </c>
      <c r="C10" s="15"/>
      <c r="D10" s="1"/>
      <c r="E10" s="16" t="s">
        <v>14</v>
      </c>
      <c r="F10" s="17"/>
      <c r="G10" s="18" t="e">
        <f t="shared" ref="G10:G19" si="0">(F$20-F10)/F$22</f>
        <v>#DIV/0!</v>
      </c>
      <c r="H10" s="7" t="e">
        <f t="shared" ref="H10:H19" si="1">IF(F10=0, ABS((AVERAGE($G$10:$G$19))/1000), ABS(G10))</f>
        <v>#DIV/0!</v>
      </c>
      <c r="I10" s="19"/>
      <c r="J10" s="20" t="s">
        <v>15</v>
      </c>
      <c r="K10" s="2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.25" customHeight="1">
      <c r="A11" s="1"/>
      <c r="B11" s="154" t="s">
        <v>16</v>
      </c>
      <c r="C11" s="155" t="e">
        <f>ABS(((C10-C9)/C9)*100)</f>
        <v>#DIV/0!</v>
      </c>
      <c r="D11" s="1"/>
      <c r="E11" s="22" t="s">
        <v>17</v>
      </c>
      <c r="F11" s="23"/>
      <c r="G11" s="24" t="e">
        <f t="shared" si="0"/>
        <v>#DIV/0!</v>
      </c>
      <c r="H11" s="25" t="e">
        <f t="shared" si="1"/>
        <v>#DIV/0!</v>
      </c>
      <c r="I11" s="19"/>
      <c r="J11" s="26" t="s">
        <v>18</v>
      </c>
      <c r="K11" s="27">
        <f>ABS(K10-K9)</f>
        <v>0</v>
      </c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25" customHeight="1">
      <c r="A12" s="1"/>
      <c r="B12" s="1"/>
      <c r="C12" s="1"/>
      <c r="D12" s="1"/>
      <c r="E12" s="22" t="s">
        <v>19</v>
      </c>
      <c r="F12" s="23"/>
      <c r="G12" s="24" t="e">
        <f t="shared" si="0"/>
        <v>#DIV/0!</v>
      </c>
      <c r="H12" s="25" t="e">
        <f t="shared" si="1"/>
        <v>#DIV/0!</v>
      </c>
      <c r="I12" s="19"/>
      <c r="J12" s="26" t="s">
        <v>20</v>
      </c>
      <c r="K12" s="27" t="e">
        <f>AVERAGE(K9:K10)</f>
        <v>#DIV/0!</v>
      </c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25" customHeight="1">
      <c r="A13" s="1"/>
      <c r="B13" s="1"/>
      <c r="C13" s="1"/>
      <c r="D13" s="1"/>
      <c r="E13" s="22" t="s">
        <v>21</v>
      </c>
      <c r="F13" s="23"/>
      <c r="G13" s="24" t="e">
        <f t="shared" si="0"/>
        <v>#DIV/0!</v>
      </c>
      <c r="H13" s="25" t="e">
        <f t="shared" si="1"/>
        <v>#DIV/0!</v>
      </c>
      <c r="I13" s="19"/>
      <c r="J13" s="163" t="s">
        <v>22</v>
      </c>
      <c r="K13" s="164" t="e">
        <f>(K11/K12)*100</f>
        <v>#DIV/0!</v>
      </c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" customHeight="1">
      <c r="A14" s="1"/>
      <c r="B14" s="99" t="s">
        <v>23</v>
      </c>
      <c r="C14" s="97"/>
      <c r="D14" s="1"/>
      <c r="E14" s="22" t="s">
        <v>24</v>
      </c>
      <c r="F14" s="23"/>
      <c r="G14" s="24" t="e">
        <f t="shared" si="0"/>
        <v>#DIV/0!</v>
      </c>
      <c r="H14" s="25" t="e">
        <f t="shared" si="1"/>
        <v>#DIV/0!</v>
      </c>
      <c r="I14" s="19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>
      <c r="A15" s="1"/>
      <c r="B15" s="6" t="s">
        <v>25</v>
      </c>
      <c r="C15" s="7"/>
      <c r="D15" s="1"/>
      <c r="E15" s="22" t="s">
        <v>26</v>
      </c>
      <c r="F15" s="23"/>
      <c r="G15" s="24" t="e">
        <f t="shared" si="0"/>
        <v>#DIV/0!</v>
      </c>
      <c r="H15" s="25" t="e">
        <f t="shared" si="1"/>
        <v>#DIV/0!</v>
      </c>
      <c r="I15" s="19"/>
      <c r="J15" s="100" t="s">
        <v>27</v>
      </c>
      <c r="K15" s="97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25" customHeight="1">
      <c r="A16" s="1"/>
      <c r="B16" s="22" t="s">
        <v>28</v>
      </c>
      <c r="C16" s="25"/>
      <c r="D16" s="1"/>
      <c r="E16" s="22" t="s">
        <v>29</v>
      </c>
      <c r="F16" s="23"/>
      <c r="G16" s="24" t="e">
        <f t="shared" si="0"/>
        <v>#DIV/0!</v>
      </c>
      <c r="H16" s="25" t="e">
        <f t="shared" si="1"/>
        <v>#DIV/0!</v>
      </c>
      <c r="I16" s="19"/>
      <c r="J16" s="28" t="s">
        <v>30</v>
      </c>
      <c r="K16" s="29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25" customHeight="1">
      <c r="A17" s="1"/>
      <c r="B17" s="14" t="s">
        <v>18</v>
      </c>
      <c r="C17" s="30">
        <f>ABS(C16-C15)</f>
        <v>0</v>
      </c>
      <c r="D17" s="1"/>
      <c r="E17" s="22" t="s">
        <v>31</v>
      </c>
      <c r="F17" s="23"/>
      <c r="G17" s="24" t="e">
        <f t="shared" si="0"/>
        <v>#DIV/0!</v>
      </c>
      <c r="H17" s="25" t="e">
        <f t="shared" si="1"/>
        <v>#DIV/0!</v>
      </c>
      <c r="I17" s="19"/>
      <c r="J17" s="31" t="s">
        <v>32</v>
      </c>
      <c r="K17" s="32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25" customHeight="1">
      <c r="A18" s="1"/>
      <c r="B18" s="14" t="s">
        <v>20</v>
      </c>
      <c r="C18" s="30" t="e">
        <f>AVERAGE(C15:C16)</f>
        <v>#DIV/0!</v>
      </c>
      <c r="D18" s="1"/>
      <c r="E18" s="22" t="s">
        <v>33</v>
      </c>
      <c r="F18" s="33"/>
      <c r="G18" s="24" t="e">
        <f t="shared" si="0"/>
        <v>#DIV/0!</v>
      </c>
      <c r="H18" s="25" t="e">
        <f t="shared" si="1"/>
        <v>#DIV/0!</v>
      </c>
      <c r="I18" s="19"/>
      <c r="J18" s="31" t="s">
        <v>34</v>
      </c>
      <c r="K18" s="34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25" customHeight="1">
      <c r="A19" s="1"/>
      <c r="B19" s="154" t="s">
        <v>22</v>
      </c>
      <c r="C19" s="155" t="e">
        <f>(C17/C18)*100</f>
        <v>#DIV/0!</v>
      </c>
      <c r="D19" s="1"/>
      <c r="E19" s="14" t="s">
        <v>35</v>
      </c>
      <c r="F19" s="33"/>
      <c r="G19" s="35" t="e">
        <f t="shared" si="0"/>
        <v>#DIV/0!</v>
      </c>
      <c r="H19" s="36" t="e">
        <f t="shared" si="1"/>
        <v>#DIV/0!</v>
      </c>
      <c r="I19" s="19"/>
      <c r="J19" s="31" t="s">
        <v>36</v>
      </c>
      <c r="K19" s="34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25" customHeight="1">
      <c r="A20" s="1"/>
      <c r="B20" s="1"/>
      <c r="C20" s="1"/>
      <c r="D20" s="1"/>
      <c r="E20" s="142" t="s">
        <v>37</v>
      </c>
      <c r="F20" s="143" t="e">
        <f>AVERAGE(F10:F19)</f>
        <v>#DIV/0!</v>
      </c>
      <c r="G20" s="37"/>
      <c r="H20" s="37"/>
      <c r="I20" s="37"/>
      <c r="J20" s="38" t="s">
        <v>38</v>
      </c>
      <c r="K20" s="39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4.25" customHeight="1">
      <c r="A21" s="1"/>
      <c r="B21" s="1"/>
      <c r="C21" s="1"/>
      <c r="D21" s="1"/>
      <c r="E21" s="144" t="s">
        <v>39</v>
      </c>
      <c r="F21" s="145" t="e">
        <f>ABS(((F9-F20)/F9)*100)</f>
        <v>#DIV/0!</v>
      </c>
      <c r="G21" s="40"/>
      <c r="H21" s="40"/>
      <c r="I21" s="40"/>
      <c r="J21" s="156" t="s">
        <v>40</v>
      </c>
      <c r="K21" s="165" t="e">
        <f>(((K19*(K16+K17))-(K18*K16))/(K17*K20))*100</f>
        <v>#DIV/0!</v>
      </c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25" customHeight="1">
      <c r="A22" s="1"/>
      <c r="B22" s="106" t="s">
        <v>41</v>
      </c>
      <c r="C22" s="97"/>
      <c r="D22" s="1"/>
      <c r="E22" s="144" t="s">
        <v>42</v>
      </c>
      <c r="F22" s="145" t="e">
        <f>_xlfn.STDEV.S(F10:F19)</f>
        <v>#DIV/0!</v>
      </c>
      <c r="G22" s="41"/>
      <c r="H22" s="41"/>
      <c r="I22" s="4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4.25" customHeight="1">
      <c r="A23" s="1"/>
      <c r="B23" s="28" t="s">
        <v>43</v>
      </c>
      <c r="C23" s="42"/>
      <c r="D23" s="1"/>
      <c r="E23" s="144" t="s">
        <v>44</v>
      </c>
      <c r="F23" s="146" t="e">
        <f>(F22/F20)*100</f>
        <v>#DIV/0!</v>
      </c>
      <c r="G23" s="43"/>
      <c r="H23" s="43"/>
      <c r="I23" s="43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4.25" customHeight="1">
      <c r="A24" s="1"/>
      <c r="B24" s="31" t="s">
        <v>45</v>
      </c>
      <c r="C24" s="34"/>
      <c r="D24" s="1"/>
      <c r="E24" s="147" t="s">
        <v>46</v>
      </c>
      <c r="F24" s="148">
        <f>COUNT(F10:F19)</f>
        <v>0</v>
      </c>
      <c r="G24" s="43"/>
      <c r="H24" s="43"/>
      <c r="I24" s="43"/>
      <c r="J24" s="103" t="s">
        <v>47</v>
      </c>
      <c r="K24" s="97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4.25" customHeight="1">
      <c r="A25" s="1"/>
      <c r="B25" s="31" t="s">
        <v>48</v>
      </c>
      <c r="C25" s="34"/>
      <c r="D25" s="1"/>
      <c r="E25" s="147" t="s">
        <v>49</v>
      </c>
      <c r="F25" s="149">
        <f>MIN(F10:F19)</f>
        <v>0</v>
      </c>
      <c r="G25" s="43"/>
      <c r="H25" s="43"/>
      <c r="I25" s="43"/>
      <c r="J25" s="28" t="s">
        <v>50</v>
      </c>
      <c r="K25" s="42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4.25" customHeight="1">
      <c r="A26" s="1"/>
      <c r="B26" s="31" t="s">
        <v>51</v>
      </c>
      <c r="C26" s="34"/>
      <c r="D26" s="1"/>
      <c r="E26" s="147" t="s">
        <v>52</v>
      </c>
      <c r="F26" s="149">
        <f>MAX(F10:F19)</f>
        <v>0</v>
      </c>
      <c r="G26" s="44"/>
      <c r="H26" s="44"/>
      <c r="I26" s="44"/>
      <c r="J26" s="31" t="s">
        <v>53</v>
      </c>
      <c r="K26" s="34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4.25" customHeight="1">
      <c r="A27" s="1"/>
      <c r="B27" s="31" t="s">
        <v>54</v>
      </c>
      <c r="C27" s="34"/>
      <c r="D27" s="1"/>
      <c r="E27" s="147" t="s">
        <v>55</v>
      </c>
      <c r="F27" s="149">
        <f>F26-F25</f>
        <v>0</v>
      </c>
      <c r="G27" s="1"/>
      <c r="H27" s="1"/>
      <c r="I27" s="1"/>
      <c r="J27" s="31" t="s">
        <v>56</v>
      </c>
      <c r="K27" s="34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4.25" customHeight="1">
      <c r="A28" s="1"/>
      <c r="B28" s="45" t="s">
        <v>20</v>
      </c>
      <c r="C28" s="46" t="e">
        <f>AVERAGE(C25:C27)</f>
        <v>#DIV/0!</v>
      </c>
      <c r="D28" s="1"/>
      <c r="E28" s="147" t="s">
        <v>57</v>
      </c>
      <c r="F28" s="150">
        <f>F24-1</f>
        <v>-1</v>
      </c>
      <c r="G28" s="1"/>
      <c r="H28" s="1"/>
      <c r="I28" s="1"/>
      <c r="J28" s="38" t="s">
        <v>30</v>
      </c>
      <c r="K28" s="39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4.25" customHeight="1">
      <c r="A29" s="1"/>
      <c r="B29" s="156" t="s">
        <v>58</v>
      </c>
      <c r="C29" s="157" t="e">
        <f>(C23*C24)/C28</f>
        <v>#DIV/0!</v>
      </c>
      <c r="D29" s="1"/>
      <c r="E29" s="144" t="s">
        <v>59</v>
      </c>
      <c r="F29" s="151" t="e">
        <f>MAX(H10:H19)</f>
        <v>#DIV/0!</v>
      </c>
      <c r="G29" s="5"/>
      <c r="H29" s="5"/>
      <c r="I29" s="5"/>
      <c r="J29" s="166" t="s">
        <v>60</v>
      </c>
      <c r="K29" s="167" t="e">
        <f>(((2*K26)-K27)*K25*50000)/K28</f>
        <v>#DIV/0!</v>
      </c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25" customHeight="1">
      <c r="A30" s="1"/>
      <c r="B30" s="1"/>
      <c r="C30" s="1"/>
      <c r="D30" s="1"/>
      <c r="E30" s="152" t="s">
        <v>61</v>
      </c>
      <c r="F30" s="153">
        <f>IF(F24=9, 2.11, IF(F24=10, 2.18, (0.0027*F24*F24*F24)-(0.0712*F24*F24)+(0.693*F24)-0.3574+0.0066))</f>
        <v>-0.3508</v>
      </c>
      <c r="G30" s="47"/>
      <c r="H30" s="47"/>
      <c r="I30" s="47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25" customHeight="1">
      <c r="A31" s="1"/>
      <c r="B31" s="1"/>
      <c r="C31" s="1"/>
      <c r="D31" s="1"/>
      <c r="E31" s="48" t="s">
        <v>62</v>
      </c>
      <c r="F31" s="49" t="e">
        <f>IF(F30&lt;F29,"DATOS NO PASAN","DATOS PASAN")</f>
        <v>#DIV/0!</v>
      </c>
      <c r="G31" s="47"/>
      <c r="H31" s="47"/>
      <c r="I31" s="47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25" customHeight="1">
      <c r="A32" s="1"/>
      <c r="B32" s="107" t="s">
        <v>63</v>
      </c>
      <c r="C32" s="97"/>
      <c r="D32" s="1"/>
      <c r="E32" s="1"/>
      <c r="F32" s="1"/>
      <c r="G32" s="47"/>
      <c r="H32" s="47"/>
      <c r="I32" s="47"/>
      <c r="J32" s="103" t="s">
        <v>64</v>
      </c>
      <c r="K32" s="97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25" customHeight="1">
      <c r="A33" s="1"/>
      <c r="B33" s="28" t="s">
        <v>65</v>
      </c>
      <c r="C33" s="42"/>
      <c r="D33" s="1"/>
      <c r="E33" s="108" t="s">
        <v>66</v>
      </c>
      <c r="F33" s="97"/>
      <c r="G33" s="50"/>
      <c r="H33" s="50"/>
      <c r="I33" s="50"/>
      <c r="J33" s="28" t="s">
        <v>50</v>
      </c>
      <c r="K33" s="42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25" customHeight="1">
      <c r="A34" s="1"/>
      <c r="B34" s="51" t="s">
        <v>67</v>
      </c>
      <c r="C34" s="34"/>
      <c r="D34" s="1"/>
      <c r="E34" s="28" t="s">
        <v>68</v>
      </c>
      <c r="F34" s="42"/>
      <c r="G34" s="1"/>
      <c r="H34" s="1"/>
      <c r="I34" s="1"/>
      <c r="J34" s="31" t="s">
        <v>69</v>
      </c>
      <c r="K34" s="34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" customHeight="1">
      <c r="A35" s="1"/>
      <c r="B35" s="31" t="s">
        <v>48</v>
      </c>
      <c r="C35" s="34"/>
      <c r="D35" s="1"/>
      <c r="E35" s="31" t="s">
        <v>70</v>
      </c>
      <c r="F35" s="34"/>
      <c r="G35" s="5"/>
      <c r="H35" s="5"/>
      <c r="I35" s="5"/>
      <c r="J35" s="31" t="s">
        <v>71</v>
      </c>
      <c r="K35" s="34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25" customHeight="1">
      <c r="A36" s="1"/>
      <c r="B36" s="31" t="s">
        <v>51</v>
      </c>
      <c r="C36" s="34"/>
      <c r="D36" s="1"/>
      <c r="E36" s="38" t="s">
        <v>30</v>
      </c>
      <c r="F36" s="39"/>
      <c r="G36" s="47"/>
      <c r="H36" s="47"/>
      <c r="I36" s="47"/>
      <c r="J36" s="38" t="s">
        <v>30</v>
      </c>
      <c r="K36" s="39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customHeight="1">
      <c r="A37" s="1"/>
      <c r="B37" s="31" t="s">
        <v>54</v>
      </c>
      <c r="C37" s="34"/>
      <c r="D37" s="1"/>
      <c r="E37" s="156" t="s">
        <v>72</v>
      </c>
      <c r="F37" s="158" t="e">
        <f>(F34*F35*35450)/F36</f>
        <v>#DIV/0!</v>
      </c>
      <c r="G37" s="47"/>
      <c r="H37" s="47"/>
      <c r="I37" s="47"/>
      <c r="J37" s="142" t="s">
        <v>73</v>
      </c>
      <c r="K37" s="168" t="e">
        <f>(K34*K33*50000)/K36</f>
        <v>#DIV/0!</v>
      </c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25" customHeight="1">
      <c r="A38" s="1"/>
      <c r="B38" s="45" t="s">
        <v>20</v>
      </c>
      <c r="C38" s="46" t="e">
        <f>AVERAGE(C35:C37)</f>
        <v>#DIV/0!</v>
      </c>
      <c r="D38" s="1"/>
      <c r="E38" s="1"/>
      <c r="F38" s="1"/>
      <c r="G38" s="47"/>
      <c r="H38" s="47"/>
      <c r="I38" s="47"/>
      <c r="J38" s="144" t="s">
        <v>74</v>
      </c>
      <c r="K38" s="151" t="e">
        <f>((K35-K34)*K33*50000)/K36</f>
        <v>#DIV/0!</v>
      </c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25" customHeight="1">
      <c r="A39" s="1"/>
      <c r="B39" s="156" t="s">
        <v>58</v>
      </c>
      <c r="C39" s="157" t="e">
        <f>(C33*C34)/(C38*53)</f>
        <v>#DIV/0!</v>
      </c>
      <c r="D39" s="1"/>
      <c r="E39" s="52" t="s">
        <v>75</v>
      </c>
      <c r="F39" s="53"/>
      <c r="G39" s="50"/>
      <c r="H39" s="50"/>
      <c r="I39" s="50"/>
      <c r="J39" s="161" t="s">
        <v>60</v>
      </c>
      <c r="K39" s="169" t="e">
        <f>SUM(K37:K38)</f>
        <v>#DIV/0!</v>
      </c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25" customHeight="1">
      <c r="A40" s="1"/>
      <c r="B40" s="1"/>
      <c r="C40" s="1"/>
      <c r="D40" s="1"/>
      <c r="E40" s="28" t="s">
        <v>76</v>
      </c>
      <c r="F40" s="42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25" customHeight="1">
      <c r="A41" s="1"/>
      <c r="B41" s="1"/>
      <c r="C41" s="1"/>
      <c r="D41" s="1"/>
      <c r="E41" s="31" t="s">
        <v>77</v>
      </c>
      <c r="F41" s="34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25" customHeight="1">
      <c r="A42" s="1"/>
      <c r="B42" s="101" t="s">
        <v>78</v>
      </c>
      <c r="C42" s="97"/>
      <c r="D42" s="1"/>
      <c r="E42" s="38" t="s">
        <v>30</v>
      </c>
      <c r="F42" s="39"/>
      <c r="G42" s="5"/>
      <c r="H42" s="5"/>
      <c r="I42" s="5"/>
      <c r="J42" s="103" t="s">
        <v>79</v>
      </c>
      <c r="K42" s="97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25" customHeight="1">
      <c r="A43" s="1"/>
      <c r="B43" s="28" t="s">
        <v>80</v>
      </c>
      <c r="C43" s="42"/>
      <c r="D43" s="1"/>
      <c r="E43" s="156" t="s">
        <v>81</v>
      </c>
      <c r="F43" s="158" t="e">
        <f>(F40*F41*1000)/F42</f>
        <v>#DIV/0!</v>
      </c>
      <c r="G43" s="47"/>
      <c r="H43" s="47"/>
      <c r="I43" s="47"/>
      <c r="J43" s="28" t="s">
        <v>82</v>
      </c>
      <c r="K43" s="42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25" customHeight="1">
      <c r="A44" s="1"/>
      <c r="B44" s="28" t="s">
        <v>83</v>
      </c>
      <c r="C44" s="34"/>
      <c r="D44" s="1"/>
      <c r="E44" s="1"/>
      <c r="F44" s="1"/>
      <c r="G44" s="47"/>
      <c r="H44" s="47"/>
      <c r="I44" s="47"/>
      <c r="J44" s="31" t="s">
        <v>84</v>
      </c>
      <c r="K44" s="34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25" customHeight="1">
      <c r="A45" s="1"/>
      <c r="B45" s="38" t="s">
        <v>30</v>
      </c>
      <c r="C45" s="39"/>
      <c r="D45" s="1"/>
      <c r="E45" s="1"/>
      <c r="F45" s="1"/>
      <c r="G45" s="47"/>
      <c r="H45" s="47"/>
      <c r="I45" s="47"/>
      <c r="J45" s="38" t="s">
        <v>30</v>
      </c>
      <c r="K45" s="34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25" customHeight="1">
      <c r="A46" s="1"/>
      <c r="B46" s="156" t="s">
        <v>85</v>
      </c>
      <c r="C46" s="158" t="e">
        <f>((C44-C43)*1000)/C45</f>
        <v>#DIV/0!</v>
      </c>
      <c r="D46" s="1"/>
      <c r="E46" s="52" t="s">
        <v>86</v>
      </c>
      <c r="F46" s="53"/>
      <c r="G46" s="50"/>
      <c r="H46" s="50"/>
      <c r="I46" s="50"/>
      <c r="J46" s="156" t="s">
        <v>87</v>
      </c>
      <c r="K46" s="158" t="e">
        <f>(K43*K44*50000)/K45</f>
        <v>#DIV/0!</v>
      </c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25" customHeight="1">
      <c r="A47" s="1"/>
      <c r="B47" s="1"/>
      <c r="C47" s="1"/>
      <c r="D47" s="1"/>
      <c r="E47" s="28" t="s">
        <v>76</v>
      </c>
      <c r="F47" s="42"/>
      <c r="G47" s="50"/>
      <c r="H47" s="50"/>
      <c r="I47" s="50"/>
      <c r="J47" s="4"/>
      <c r="K47" s="50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25" customHeight="1">
      <c r="A48" s="1"/>
      <c r="B48" s="1"/>
      <c r="C48" s="1"/>
      <c r="D48" s="1"/>
      <c r="E48" s="31" t="s">
        <v>77</v>
      </c>
      <c r="F48" s="34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25" customHeight="1">
      <c r="A49" s="1"/>
      <c r="B49" s="102" t="s">
        <v>88</v>
      </c>
      <c r="C49" s="97"/>
      <c r="D49" s="1"/>
      <c r="E49" s="38" t="s">
        <v>30</v>
      </c>
      <c r="F49" s="39"/>
      <c r="G49" s="5"/>
      <c r="H49" s="5"/>
      <c r="I49" s="5"/>
      <c r="J49" s="103" t="s">
        <v>89</v>
      </c>
      <c r="K49" s="97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25" customHeight="1">
      <c r="A50" s="1"/>
      <c r="B50" s="28" t="s">
        <v>90</v>
      </c>
      <c r="C50" s="42"/>
      <c r="D50" s="1"/>
      <c r="E50" s="156" t="s">
        <v>91</v>
      </c>
      <c r="F50" s="158" t="e">
        <f>(F47*F48*400.8)/F49</f>
        <v>#DIV/0!</v>
      </c>
      <c r="G50" s="47"/>
      <c r="H50" s="47"/>
      <c r="I50" s="47"/>
      <c r="J50" s="28" t="s">
        <v>82</v>
      </c>
      <c r="K50" s="42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25" customHeight="1">
      <c r="A51" s="1"/>
      <c r="B51" s="28" t="s">
        <v>92</v>
      </c>
      <c r="C51" s="34"/>
      <c r="D51" s="1"/>
      <c r="E51" s="4"/>
      <c r="F51" s="50"/>
      <c r="G51" s="47"/>
      <c r="H51" s="47"/>
      <c r="I51" s="47"/>
      <c r="J51" s="31" t="s">
        <v>84</v>
      </c>
      <c r="K51" s="34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customHeight="1">
      <c r="A52" s="1"/>
      <c r="B52" s="38" t="s">
        <v>30</v>
      </c>
      <c r="C52" s="39"/>
      <c r="D52" s="1"/>
      <c r="E52" s="1"/>
      <c r="F52" s="1"/>
      <c r="G52" s="50"/>
      <c r="H52" s="50"/>
      <c r="I52" s="50"/>
      <c r="J52" s="38" t="s">
        <v>93</v>
      </c>
      <c r="K52" s="34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25" customHeight="1">
      <c r="A53" s="1"/>
      <c r="B53" s="156" t="s">
        <v>94</v>
      </c>
      <c r="C53" s="158" t="e">
        <f>((C51-C50)*1000)/C52</f>
        <v>#DIV/0!</v>
      </c>
      <c r="D53" s="1"/>
      <c r="E53" s="52" t="s">
        <v>95</v>
      </c>
      <c r="F53" s="53"/>
      <c r="G53" s="1"/>
      <c r="H53" s="1"/>
      <c r="I53" s="1"/>
      <c r="J53" s="38" t="s">
        <v>96</v>
      </c>
      <c r="K53" s="34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customHeight="1">
      <c r="A54" s="1"/>
      <c r="B54" s="1"/>
      <c r="C54" s="1"/>
      <c r="D54" s="1"/>
      <c r="E54" s="28" t="s">
        <v>97</v>
      </c>
      <c r="F54" s="42"/>
      <c r="G54" s="1"/>
      <c r="H54" s="1"/>
      <c r="I54" s="1"/>
      <c r="J54" s="38" t="s">
        <v>30</v>
      </c>
      <c r="K54" s="34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customHeight="1">
      <c r="A55" s="1"/>
      <c r="B55" s="1"/>
      <c r="C55" s="1"/>
      <c r="D55" s="1"/>
      <c r="E55" s="28" t="s">
        <v>98</v>
      </c>
      <c r="F55" s="34"/>
      <c r="G55" s="4"/>
      <c r="H55" s="4"/>
      <c r="I55" s="4"/>
      <c r="J55" s="156" t="s">
        <v>99</v>
      </c>
      <c r="K55" s="158" t="e">
        <f>(((K50*K51)-(K52*K53))*50000)/K54</f>
        <v>#DIV/0!</v>
      </c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customHeight="1">
      <c r="A56" s="1"/>
      <c r="B56" s="102" t="s">
        <v>100</v>
      </c>
      <c r="C56" s="97"/>
      <c r="D56" s="1"/>
      <c r="E56" s="156" t="s">
        <v>101</v>
      </c>
      <c r="F56" s="158">
        <f>(F54-F55)*0.243</f>
        <v>0</v>
      </c>
      <c r="G56" s="47"/>
      <c r="H56" s="47"/>
      <c r="I56" s="47"/>
      <c r="J56" s="1"/>
      <c r="K56" s="47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customHeight="1">
      <c r="A57" s="1"/>
      <c r="B57" s="28" t="s">
        <v>90</v>
      </c>
      <c r="C57" s="42"/>
      <c r="D57" s="1"/>
      <c r="E57" s="1"/>
      <c r="F57" s="1"/>
      <c r="G57" s="47"/>
      <c r="H57" s="47"/>
      <c r="I57" s="47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customHeight="1">
      <c r="A58" s="1"/>
      <c r="B58" s="28" t="s">
        <v>92</v>
      </c>
      <c r="C58" s="34"/>
      <c r="D58" s="1"/>
      <c r="E58" s="1"/>
      <c r="F58" s="1"/>
      <c r="G58" s="47"/>
      <c r="H58" s="47"/>
      <c r="I58" s="47"/>
      <c r="J58" s="104" t="s">
        <v>102</v>
      </c>
      <c r="K58" s="97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25" customHeight="1">
      <c r="A59" s="1"/>
      <c r="B59" s="38" t="s">
        <v>30</v>
      </c>
      <c r="C59" s="39"/>
      <c r="D59" s="1"/>
      <c r="E59" s="54" t="s">
        <v>103</v>
      </c>
      <c r="F59" s="55"/>
      <c r="G59" s="56"/>
      <c r="H59" s="56"/>
      <c r="I59" s="56"/>
      <c r="J59" s="28" t="s">
        <v>104</v>
      </c>
      <c r="K59" s="42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25" customHeight="1">
      <c r="A60" s="1"/>
      <c r="B60" s="156" t="s">
        <v>105</v>
      </c>
      <c r="C60" s="158" t="e">
        <f>((C58-C57)*1000)/C59</f>
        <v>#DIV/0!</v>
      </c>
      <c r="D60" s="1"/>
      <c r="E60" s="57" t="s">
        <v>106</v>
      </c>
      <c r="F60" s="58"/>
      <c r="G60" s="56"/>
      <c r="H60" s="56"/>
      <c r="I60" s="56"/>
      <c r="J60" s="28" t="s">
        <v>107</v>
      </c>
      <c r="K60" s="34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25" customHeight="1">
      <c r="A61" s="1"/>
      <c r="B61" s="1"/>
      <c r="C61" s="1"/>
      <c r="D61" s="1"/>
      <c r="E61" s="31" t="s">
        <v>108</v>
      </c>
      <c r="F61" s="34"/>
      <c r="G61" s="56"/>
      <c r="H61" s="56"/>
      <c r="I61" s="56"/>
      <c r="J61" s="28" t="s">
        <v>109</v>
      </c>
      <c r="K61" s="39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25" customHeight="1">
      <c r="A62" s="1"/>
      <c r="B62" s="1"/>
      <c r="C62" s="1"/>
      <c r="D62" s="1"/>
      <c r="E62" s="59" t="s">
        <v>110</v>
      </c>
      <c r="F62" s="60"/>
      <c r="G62" s="1"/>
      <c r="H62" s="1"/>
      <c r="I62" s="1"/>
      <c r="J62" s="28" t="s">
        <v>111</v>
      </c>
      <c r="K62" s="39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customHeight="1">
      <c r="A63" s="1"/>
      <c r="B63" s="105" t="s">
        <v>112</v>
      </c>
      <c r="C63" s="97"/>
      <c r="D63" s="1"/>
      <c r="E63" s="142" t="s">
        <v>113</v>
      </c>
      <c r="F63" s="159">
        <f t="shared" ref="F63:F65" si="2">(F60/50)*1000</f>
        <v>0</v>
      </c>
      <c r="G63" s="1"/>
      <c r="H63" s="1"/>
      <c r="I63" s="1"/>
      <c r="J63" s="28" t="s">
        <v>114</v>
      </c>
      <c r="K63" s="39">
        <f>(11.85*(K60-K59))-(1.54*(K61-K59))-(0.08*(K62-K59))</f>
        <v>0</v>
      </c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customHeight="1">
      <c r="A64" s="1"/>
      <c r="B64" s="28" t="s">
        <v>115</v>
      </c>
      <c r="C64" s="42"/>
      <c r="D64" s="1"/>
      <c r="E64" s="144" t="s">
        <v>116</v>
      </c>
      <c r="F64" s="160">
        <f t="shared" si="2"/>
        <v>0</v>
      </c>
      <c r="G64" s="5"/>
      <c r="H64" s="5"/>
      <c r="I64" s="5"/>
      <c r="J64" s="28" t="s">
        <v>117</v>
      </c>
      <c r="K64" s="39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25" customHeight="1">
      <c r="A65" s="1"/>
      <c r="B65" s="28" t="s">
        <v>118</v>
      </c>
      <c r="C65" s="34"/>
      <c r="D65" s="1"/>
      <c r="E65" s="161" t="s">
        <v>119</v>
      </c>
      <c r="F65" s="162">
        <f t="shared" si="2"/>
        <v>0</v>
      </c>
      <c r="G65" s="47"/>
      <c r="H65" s="47"/>
      <c r="I65" s="47"/>
      <c r="J65" s="28" t="s">
        <v>30</v>
      </c>
      <c r="K65" s="39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25" customHeight="1">
      <c r="A66" s="1"/>
      <c r="B66" s="38" t="s">
        <v>120</v>
      </c>
      <c r="C66" s="39"/>
      <c r="D66" s="1"/>
      <c r="E66" s="1"/>
      <c r="F66" s="1"/>
      <c r="G66" s="47"/>
      <c r="H66" s="47"/>
      <c r="I66" s="47"/>
      <c r="J66" s="156" t="s">
        <v>121</v>
      </c>
      <c r="K66" s="158" t="e">
        <f>K63*K64/K65</f>
        <v>#DIV/0!</v>
      </c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customHeight="1">
      <c r="A67" s="1"/>
      <c r="B67" s="156" t="s">
        <v>122</v>
      </c>
      <c r="C67" s="158" t="e">
        <f>(C64-C65)*(300/C66)</f>
        <v>#DIV/0!</v>
      </c>
      <c r="D67" s="1"/>
      <c r="E67" s="1"/>
      <c r="F67" s="1"/>
      <c r="G67" s="47"/>
      <c r="H67" s="47"/>
      <c r="I67" s="47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customHeight="1">
      <c r="A68" s="1"/>
      <c r="B68" s="1"/>
      <c r="C68" s="1"/>
      <c r="D68" s="1"/>
      <c r="E68" s="61" t="s">
        <v>123</v>
      </c>
      <c r="F68" s="62"/>
      <c r="G68" s="47"/>
      <c r="H68" s="47"/>
      <c r="I68" s="47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25" customHeight="1">
      <c r="A69" s="1"/>
      <c r="B69" s="1"/>
      <c r="C69" s="1"/>
      <c r="D69" s="1"/>
      <c r="E69" s="57" t="s">
        <v>124</v>
      </c>
      <c r="F69" s="58"/>
      <c r="G69" s="50"/>
      <c r="H69" s="50"/>
      <c r="I69" s="50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25" customHeight="1">
      <c r="A70" s="1"/>
      <c r="B70" s="1"/>
      <c r="C70" s="1"/>
      <c r="D70" s="1"/>
      <c r="E70" s="31" t="s">
        <v>125</v>
      </c>
      <c r="F70" s="34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customHeight="1">
      <c r="A71" s="1"/>
      <c r="B71" s="1"/>
      <c r="C71" s="1"/>
      <c r="D71" s="1"/>
      <c r="E71" s="31" t="s">
        <v>30</v>
      </c>
      <c r="F71" s="34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25" customHeight="1">
      <c r="A72" s="1"/>
      <c r="B72" s="1"/>
      <c r="C72" s="1"/>
      <c r="D72" s="1"/>
      <c r="E72" s="59" t="s">
        <v>126</v>
      </c>
      <c r="F72" s="60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customHeight="1">
      <c r="A73" s="1"/>
      <c r="B73" s="1"/>
      <c r="C73" s="1"/>
      <c r="D73" s="1"/>
      <c r="E73" s="156" t="s">
        <v>127</v>
      </c>
      <c r="F73" s="158" t="e">
        <f>(F69*F70*8000)/((F71*(F72-2))/F72)</f>
        <v>#DIV/0!</v>
      </c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.2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.2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.2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2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2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2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2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2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2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2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2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2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2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2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2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2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2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2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2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2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2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2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2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2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2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2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2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2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2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2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2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2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2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2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2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2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2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2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2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2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2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2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2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2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2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2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2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2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2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2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2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2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2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2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2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2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2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2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2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2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2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2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2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2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2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2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2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2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2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2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2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2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2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2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2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2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2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2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2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2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2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2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2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2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2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2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2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2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2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2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2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2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2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2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2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2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2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2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2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2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2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2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2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2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2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2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2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2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2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2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2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2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2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2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2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2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2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.2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.2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2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2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2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2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2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2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2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2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2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2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2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2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2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2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2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2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2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2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2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2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2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2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2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2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2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2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2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2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2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2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2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.2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.2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2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2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2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2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2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2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2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2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2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2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2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2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2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2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2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2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2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2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2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2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2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.2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2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2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2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2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2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2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2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2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2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.2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.2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2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2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2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2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2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2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2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.2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.2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.2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.2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.2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.2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.2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.2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.2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.2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.2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.2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.2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.2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.2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.2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.2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.2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.2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.2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.2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.2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.2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.2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.2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.2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.2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.2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.2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.2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.2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.2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.2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.2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.2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.2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.2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.2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.2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.2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.2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.2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.2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.2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.2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.2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.2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.2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.2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.2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.2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.2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.2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.2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.2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.2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.2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.2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.2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.2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.2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.2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.2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.2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.2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.2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.2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.2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.2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.2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.2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.2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.2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.2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.2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.2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.2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.2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.2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.2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.2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.2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.2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.2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.2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.2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.2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.2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.2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.2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.2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.2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.2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.2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.2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.2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.2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.2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.2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.2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.2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.2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.2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.2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.2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.2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.2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.2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.2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.2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.2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.2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.2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.2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.2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.2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.2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.2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.2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.2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.2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.2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.2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.2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.2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.2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.2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.2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.2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.2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.2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.2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.2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.2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.2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.2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.2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.2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.2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.2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.2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.2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.2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.2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.2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.2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.2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.2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.2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.2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.2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.2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.2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.2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.2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.2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.2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.2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.2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.2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.2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.2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.2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.2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.2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.2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.2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.2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.2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.2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.2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.2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.2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.2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.2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.2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.2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.2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.2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.2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.2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.2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.2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.2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.2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.2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.2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.2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.2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.2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.2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.2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.2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.2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.2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.2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.2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.2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.2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.2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.2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.2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.2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.2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.2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.2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.2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.2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.2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.2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.2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.2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.2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.2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.2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.2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.2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.2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.2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.2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.2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.2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.2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.2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.2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.2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.2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.2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.2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.2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.2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.2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.2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.2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.2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.2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.2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.2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.2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.2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.2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.2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.2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.2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.2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.2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.2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.2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.2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.2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.2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.2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.2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.2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.2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.2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.2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.2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.2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.2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.2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.2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.2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.2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.2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.2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.2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.2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.2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.2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.2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.2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.2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.2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.2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.2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.2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.2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.2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.2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.2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.2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.2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.2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.2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.2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.2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.2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.2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.2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.2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.2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.2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.2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.2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.2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.2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.2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.2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.2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.2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.2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.2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.2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.2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.2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.2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.2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.2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.2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.2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.2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.2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.2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.2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.2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.2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.2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.2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.2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.2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.2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.2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.2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.2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.2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.2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.2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.2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.2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.2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.2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.2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.2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.2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.2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.2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.2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.2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.2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.2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.2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.2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.2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.2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.2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.2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.2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.2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.2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.2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.2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.2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.2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.2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.2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.2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.2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.2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.2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.2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.2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.2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.2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.2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.2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.2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.2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.2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.2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.2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.2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.2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.2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.2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.2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.2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.2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.2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.2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.2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.2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.2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.2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.2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.2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.2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.2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.2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.2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.2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.2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.2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.2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.2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.2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.2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.2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.2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.2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.2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.2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.2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.2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.2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.2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.2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.2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.2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.2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.2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.2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.2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.2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.2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.2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.2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.2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.2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.2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.2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.2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.2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.2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.2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.2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.2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.2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.2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.2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.2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.2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.2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.2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.2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.2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.2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.2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.2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.2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.2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.2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.2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.2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.2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.2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.2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.2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.2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.2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.2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.2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.2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.2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.2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.2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.2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.2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.2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.2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.2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4.2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.2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.2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.2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.2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.2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.2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.2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4.2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.2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.2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.2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.2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.2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.2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.2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4.2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4.2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4.2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.2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.2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.2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.2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.2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.2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.2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.2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4.2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.2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.2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.2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4.2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4.2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4.2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4.2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4.2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4.2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4.2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4.2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4.2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4.2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4.2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4.2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4.2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4.2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4.2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4.2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4.2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4.2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4.2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4.2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4.2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4.2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4.2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4.2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4.2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4.2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4.2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4.2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4.2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4.2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4.2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0">
    <mergeCell ref="J58:K58"/>
    <mergeCell ref="B63:C63"/>
    <mergeCell ref="B14:C14"/>
    <mergeCell ref="B22:C22"/>
    <mergeCell ref="J24:K24"/>
    <mergeCell ref="B32:C32"/>
    <mergeCell ref="J32:K32"/>
    <mergeCell ref="E33:F33"/>
    <mergeCell ref="J42:K42"/>
    <mergeCell ref="J15:K15"/>
    <mergeCell ref="B42:C42"/>
    <mergeCell ref="B49:C49"/>
    <mergeCell ref="J49:K49"/>
    <mergeCell ref="B56:C56"/>
    <mergeCell ref="C2:L2"/>
    <mergeCell ref="B6:F6"/>
    <mergeCell ref="J6:K6"/>
    <mergeCell ref="B8:C8"/>
    <mergeCell ref="E8:F8"/>
    <mergeCell ref="J8:K8"/>
  </mergeCells>
  <pageMargins left="0.7" right="0.7" top="0.75" bottom="0.75" header="0" footer="0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showGridLines="0" workbookViewId="0"/>
  </sheetViews>
  <sheetFormatPr baseColWidth="10" defaultColWidth="14.42578125" defaultRowHeight="15" customHeight="1"/>
  <cols>
    <col min="1" max="1" width="6.28515625" customWidth="1"/>
    <col min="2" max="2" width="32.85546875" customWidth="1"/>
    <col min="3" max="3" width="33.85546875" customWidth="1"/>
    <col min="4" max="4" width="33.5703125" customWidth="1"/>
    <col min="5" max="5" width="17.7109375" customWidth="1"/>
    <col min="6" max="6" width="35.7109375" customWidth="1"/>
    <col min="7" max="7" width="13.5703125" customWidth="1"/>
    <col min="8" max="8" width="39.85546875" customWidth="1"/>
    <col min="9" max="9" width="19.28515625" customWidth="1"/>
    <col min="10" max="10" width="21.85546875" customWidth="1"/>
    <col min="11" max="11" width="26.140625" customWidth="1"/>
    <col min="12" max="12" width="15.5703125" customWidth="1"/>
    <col min="13" max="26" width="11.5703125" customWidth="1"/>
  </cols>
  <sheetData>
    <row r="1" spans="1:26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>
      <c r="A2" s="1"/>
      <c r="B2" s="1"/>
      <c r="C2" s="93" t="s">
        <v>0</v>
      </c>
      <c r="D2" s="94"/>
      <c r="E2" s="94"/>
      <c r="F2" s="94"/>
      <c r="G2" s="94"/>
      <c r="H2" s="94"/>
      <c r="I2" s="94"/>
      <c r="J2" s="94"/>
      <c r="K2" s="94"/>
      <c r="L2" s="94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25" customHeight="1">
      <c r="A3" s="1"/>
      <c r="B3" s="1"/>
      <c r="C3" s="2" t="s">
        <v>1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25" customHeight="1">
      <c r="A4" s="1"/>
      <c r="B4" s="1"/>
      <c r="C4" s="3" t="s">
        <v>2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2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.2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42.75" customHeight="1">
      <c r="A7" s="1"/>
      <c r="B7" s="109" t="s">
        <v>128</v>
      </c>
      <c r="C7" s="96"/>
      <c r="D7" s="96"/>
      <c r="E7" s="96"/>
      <c r="F7" s="96"/>
      <c r="G7" s="96"/>
      <c r="H7" s="96"/>
      <c r="I7" s="96"/>
      <c r="J7" s="96"/>
      <c r="K7" s="96"/>
      <c r="L7" s="97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4.2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2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25" customHeight="1">
      <c r="A10" s="1"/>
      <c r="B10" s="110" t="s">
        <v>129</v>
      </c>
      <c r="C10" s="111"/>
      <c r="D10" s="111"/>
      <c r="E10" s="111"/>
      <c r="F10" s="111"/>
      <c r="G10" s="111"/>
      <c r="H10" s="111"/>
      <c r="I10" s="111"/>
      <c r="J10" s="111"/>
      <c r="K10" s="111"/>
      <c r="L10" s="112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.25" customHeight="1">
      <c r="A11" s="1"/>
      <c r="B11" s="113"/>
      <c r="C11" s="114"/>
      <c r="D11" s="114"/>
      <c r="E11" s="114"/>
      <c r="F11" s="114"/>
      <c r="G11" s="114"/>
      <c r="H11" s="114"/>
      <c r="I11" s="114"/>
      <c r="J11" s="114"/>
      <c r="K11" s="114"/>
      <c r="L11" s="115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2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2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25" customHeight="1">
      <c r="A14" s="1"/>
      <c r="B14" s="116" t="s">
        <v>130</v>
      </c>
      <c r="C14" s="117"/>
      <c r="D14" s="117"/>
      <c r="E14" s="117"/>
      <c r="F14" s="118"/>
      <c r="G14" s="63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25" customHeight="1">
      <c r="A15" s="1"/>
      <c r="B15" s="64" t="s">
        <v>131</v>
      </c>
      <c r="C15" s="65" t="s">
        <v>132</v>
      </c>
      <c r="D15" s="66" t="s">
        <v>133</v>
      </c>
      <c r="E15" s="67" t="s">
        <v>134</v>
      </c>
      <c r="F15" s="67" t="s">
        <v>135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25" customHeight="1">
      <c r="A16" s="1"/>
      <c r="B16" s="68">
        <v>1</v>
      </c>
      <c r="C16" s="69"/>
      <c r="D16" s="69"/>
      <c r="E16" s="70"/>
      <c r="F16" s="7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25" customHeight="1">
      <c r="A17" s="1"/>
      <c r="B17" s="68">
        <v>2</v>
      </c>
      <c r="C17" s="69"/>
      <c r="D17" s="69"/>
      <c r="E17" s="70"/>
      <c r="F17" s="7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25" customHeight="1">
      <c r="A18" s="1"/>
      <c r="B18" s="68">
        <v>3</v>
      </c>
      <c r="C18" s="69"/>
      <c r="D18" s="69"/>
      <c r="E18" s="70"/>
      <c r="F18" s="7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25" customHeight="1">
      <c r="A19" s="1"/>
      <c r="B19" s="68">
        <v>4</v>
      </c>
      <c r="C19" s="69"/>
      <c r="D19" s="69"/>
      <c r="E19" s="70"/>
      <c r="F19" s="7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25" customHeight="1">
      <c r="A20" s="1"/>
      <c r="B20" s="68">
        <v>5</v>
      </c>
      <c r="C20" s="69"/>
      <c r="D20" s="69"/>
      <c r="E20" s="70"/>
      <c r="F20" s="7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4.25" customHeight="1">
      <c r="A21" s="1"/>
      <c r="B21" s="68">
        <v>6</v>
      </c>
      <c r="C21" s="69"/>
      <c r="D21" s="69"/>
      <c r="E21" s="70"/>
      <c r="F21" s="7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25" customHeight="1">
      <c r="A22" s="1"/>
      <c r="B22" s="68">
        <v>7</v>
      </c>
      <c r="C22" s="69"/>
      <c r="D22" s="69"/>
      <c r="E22" s="70"/>
      <c r="F22" s="7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4.25" customHeight="1">
      <c r="A23" s="1"/>
      <c r="B23" s="68">
        <v>8</v>
      </c>
      <c r="C23" s="69"/>
      <c r="D23" s="69"/>
      <c r="E23" s="70"/>
      <c r="F23" s="7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4.25" customHeight="1">
      <c r="A24" s="1"/>
      <c r="B24" s="68">
        <v>9</v>
      </c>
      <c r="C24" s="69"/>
      <c r="D24" s="69"/>
      <c r="E24" s="70"/>
      <c r="F24" s="7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4.25" customHeight="1">
      <c r="A25" s="1"/>
      <c r="B25" s="68">
        <v>10</v>
      </c>
      <c r="C25" s="69"/>
      <c r="D25" s="69"/>
      <c r="E25" s="70"/>
      <c r="F25" s="7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4.25" customHeight="1">
      <c r="A26" s="1"/>
      <c r="B26" s="68">
        <v>11</v>
      </c>
      <c r="C26" s="69"/>
      <c r="D26" s="69"/>
      <c r="E26" s="70"/>
      <c r="F26" s="7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4.25" customHeight="1">
      <c r="A27" s="1"/>
      <c r="B27" s="68">
        <v>12</v>
      </c>
      <c r="C27" s="69"/>
      <c r="D27" s="69"/>
      <c r="E27" s="70"/>
      <c r="F27" s="7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4.25" customHeight="1">
      <c r="A28" s="1"/>
      <c r="B28" s="68">
        <v>13</v>
      </c>
      <c r="C28" s="69"/>
      <c r="D28" s="69"/>
      <c r="E28" s="70"/>
      <c r="F28" s="7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4.25" customHeight="1">
      <c r="A29" s="1"/>
      <c r="B29" s="68">
        <v>14</v>
      </c>
      <c r="C29" s="69"/>
      <c r="D29" s="69"/>
      <c r="E29" s="70"/>
      <c r="F29" s="7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25" customHeight="1">
      <c r="A30" s="1"/>
      <c r="B30" s="68">
        <v>15</v>
      </c>
      <c r="C30" s="69"/>
      <c r="D30" s="69"/>
      <c r="E30" s="70"/>
      <c r="F30" s="7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25" customHeight="1">
      <c r="A31" s="1"/>
      <c r="B31" s="68">
        <v>16</v>
      </c>
      <c r="C31" s="69"/>
      <c r="D31" s="69"/>
      <c r="E31" s="70"/>
      <c r="F31" s="7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25" customHeight="1">
      <c r="A32" s="1"/>
      <c r="B32" s="68">
        <v>17</v>
      </c>
      <c r="C32" s="69"/>
      <c r="D32" s="69"/>
      <c r="E32" s="70"/>
      <c r="F32" s="7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25" customHeight="1">
      <c r="A33" s="1"/>
      <c r="B33" s="68">
        <v>18</v>
      </c>
      <c r="C33" s="69"/>
      <c r="D33" s="69"/>
      <c r="E33" s="70"/>
      <c r="F33" s="7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25" customHeight="1">
      <c r="A34" s="1"/>
      <c r="B34" s="68">
        <v>19</v>
      </c>
      <c r="C34" s="69"/>
      <c r="D34" s="69"/>
      <c r="E34" s="70"/>
      <c r="F34" s="7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25" customHeight="1">
      <c r="A35" s="1"/>
      <c r="B35" s="68">
        <v>20</v>
      </c>
      <c r="C35" s="69"/>
      <c r="D35" s="69"/>
      <c r="E35" s="70"/>
      <c r="F35" s="7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25" customHeight="1">
      <c r="A36" s="1"/>
      <c r="B36" s="68">
        <v>21</v>
      </c>
      <c r="C36" s="69"/>
      <c r="D36" s="69"/>
      <c r="E36" s="70"/>
      <c r="F36" s="7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customHeight="1">
      <c r="A37" s="1"/>
      <c r="B37" s="68">
        <v>22</v>
      </c>
      <c r="C37" s="69"/>
      <c r="D37" s="69"/>
      <c r="E37" s="70"/>
      <c r="F37" s="7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25" customHeight="1">
      <c r="A38" s="1"/>
      <c r="B38" s="68">
        <v>23</v>
      </c>
      <c r="C38" s="69"/>
      <c r="D38" s="69"/>
      <c r="E38" s="70"/>
      <c r="F38" s="7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25" customHeight="1">
      <c r="A39" s="1"/>
      <c r="B39" s="68">
        <v>24</v>
      </c>
      <c r="C39" s="69"/>
      <c r="D39" s="69"/>
      <c r="E39" s="70"/>
      <c r="F39" s="7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25" customHeight="1">
      <c r="A40" s="1"/>
      <c r="B40" s="68">
        <v>25</v>
      </c>
      <c r="C40" s="69"/>
      <c r="D40" s="69"/>
      <c r="E40" s="70"/>
      <c r="F40" s="7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25" customHeight="1">
      <c r="A41" s="1"/>
      <c r="B41" s="68">
        <v>26</v>
      </c>
      <c r="C41" s="69"/>
      <c r="D41" s="69"/>
      <c r="E41" s="70"/>
      <c r="F41" s="7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25" customHeight="1">
      <c r="A42" s="1"/>
      <c r="B42" s="68">
        <v>27</v>
      </c>
      <c r="C42" s="69"/>
      <c r="D42" s="69"/>
      <c r="E42" s="70"/>
      <c r="F42" s="7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25" customHeight="1">
      <c r="A43" s="1"/>
      <c r="B43" s="68">
        <v>28</v>
      </c>
      <c r="C43" s="69"/>
      <c r="D43" s="69"/>
      <c r="E43" s="70"/>
      <c r="F43" s="7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25" customHeight="1">
      <c r="A44" s="1"/>
      <c r="B44" s="68">
        <v>29</v>
      </c>
      <c r="C44" s="69"/>
      <c r="D44" s="69"/>
      <c r="E44" s="70"/>
      <c r="F44" s="7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25" customHeight="1">
      <c r="A45" s="1"/>
      <c r="B45" s="68">
        <v>30</v>
      </c>
      <c r="C45" s="69"/>
      <c r="D45" s="69"/>
      <c r="E45" s="70"/>
      <c r="F45" s="7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25" customHeight="1">
      <c r="A46" s="1"/>
      <c r="B46" s="119" t="s">
        <v>136</v>
      </c>
      <c r="C46" s="120"/>
      <c r="D46" s="121"/>
      <c r="E46" s="122" t="e">
        <f>AVERAGE(E16:E45)</f>
        <v>#DIV/0!</v>
      </c>
      <c r="F46" s="118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25" customHeight="1">
      <c r="A47" s="1"/>
      <c r="B47" s="124" t="s">
        <v>137</v>
      </c>
      <c r="C47" s="120"/>
      <c r="D47" s="121"/>
      <c r="E47" s="123" t="e">
        <f>_xlfn.STDEV.S(E16:E45)</f>
        <v>#DIV/0!</v>
      </c>
      <c r="F47" s="118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25" customHeight="1">
      <c r="A48" s="1"/>
      <c r="B48" s="119" t="s">
        <v>138</v>
      </c>
      <c r="C48" s="120"/>
      <c r="D48" s="121"/>
      <c r="E48" s="122">
        <f>MAX(F16:F45)</f>
        <v>0</v>
      </c>
      <c r="F48" s="118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25" customHeight="1">
      <c r="A49" s="1"/>
      <c r="B49" s="125" t="s">
        <v>139</v>
      </c>
      <c r="C49" s="126"/>
      <c r="D49" s="127"/>
      <c r="E49" s="123" t="e">
        <f>E48/E47</f>
        <v>#DIV/0!</v>
      </c>
      <c r="F49" s="118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25" customHeight="1">
      <c r="A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25" customHeight="1">
      <c r="A51" s="1"/>
      <c r="B51" s="128" t="s">
        <v>140</v>
      </c>
      <c r="C51" s="117"/>
      <c r="D51" s="117"/>
      <c r="E51" s="117"/>
      <c r="F51" s="118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customHeight="1">
      <c r="A52" s="1"/>
      <c r="B52" s="130" t="s">
        <v>141</v>
      </c>
      <c r="C52" s="117"/>
      <c r="D52" s="118"/>
      <c r="E52" s="129">
        <f>COUNT(B16:B45)</f>
        <v>30</v>
      </c>
      <c r="F52" s="118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25" customHeight="1">
      <c r="A53" s="1"/>
      <c r="B53" s="131" t="s">
        <v>142</v>
      </c>
      <c r="C53" s="117"/>
      <c r="D53" s="118"/>
      <c r="E53" s="129">
        <v>0.05</v>
      </c>
      <c r="F53" s="118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customHeight="1">
      <c r="A54" s="1"/>
      <c r="B54" s="130" t="s">
        <v>143</v>
      </c>
      <c r="C54" s="117"/>
      <c r="D54" s="118"/>
      <c r="E54" s="129">
        <f>E52-2</f>
        <v>28</v>
      </c>
      <c r="F54" s="118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customHeight="1">
      <c r="A55" s="1"/>
      <c r="B55" s="130" t="s">
        <v>144</v>
      </c>
      <c r="C55" s="117"/>
      <c r="D55" s="118"/>
      <c r="E55" s="132">
        <f>E53/(2*E52)</f>
        <v>8.3333333333333339E-4</v>
      </c>
      <c r="F55" s="118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customHeight="1">
      <c r="A56" s="1"/>
      <c r="B56" s="130" t="s">
        <v>145</v>
      </c>
      <c r="C56" s="117"/>
      <c r="D56" s="118"/>
      <c r="E56" s="132">
        <f>1-E55</f>
        <v>0.99916666666666665</v>
      </c>
      <c r="F56" s="118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customHeight="1">
      <c r="A57" s="1"/>
      <c r="B57" s="130" t="s">
        <v>146</v>
      </c>
      <c r="C57" s="117"/>
      <c r="D57" s="118"/>
      <c r="E57" s="132">
        <f>_xlfn.T.INV(E56,E54)</f>
        <v>3.4785877427930867</v>
      </c>
      <c r="F57" s="118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customHeight="1">
      <c r="A58" s="1"/>
      <c r="B58" s="130" t="s">
        <v>147</v>
      </c>
      <c r="C58" s="117"/>
      <c r="D58" s="118"/>
      <c r="E58" s="132">
        <f>((E52-1)/SQRT(E52))*(SQRT((E57)^2/((E54)+(E57)^2)))</f>
        <v>2.9084730597409618</v>
      </c>
      <c r="F58" s="118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25" customHeight="1">
      <c r="A60" s="1"/>
      <c r="B60" s="110" t="s">
        <v>148</v>
      </c>
      <c r="C60" s="111"/>
      <c r="D60" s="111"/>
      <c r="E60" s="111"/>
      <c r="F60" s="111"/>
      <c r="G60" s="111"/>
      <c r="H60" s="111"/>
      <c r="I60" s="111"/>
      <c r="J60" s="111"/>
      <c r="K60" s="111"/>
      <c r="L60" s="112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25" customHeight="1">
      <c r="A61" s="1"/>
      <c r="B61" s="113"/>
      <c r="C61" s="114"/>
      <c r="D61" s="114"/>
      <c r="E61" s="114"/>
      <c r="F61" s="114"/>
      <c r="G61" s="114"/>
      <c r="H61" s="114"/>
      <c r="I61" s="114"/>
      <c r="J61" s="114"/>
      <c r="K61" s="114"/>
      <c r="L61" s="115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customHeight="1">
      <c r="A64" s="1"/>
      <c r="B64" s="133" t="s">
        <v>149</v>
      </c>
      <c r="C64" s="117"/>
      <c r="D64" s="117"/>
      <c r="E64" s="117"/>
      <c r="F64" s="118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25" customHeight="1">
      <c r="A65" s="1"/>
      <c r="B65" s="116" t="s">
        <v>150</v>
      </c>
      <c r="C65" s="117"/>
      <c r="D65" s="117"/>
      <c r="E65" s="117"/>
      <c r="F65" s="118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25" customHeight="1">
      <c r="A66" s="1"/>
      <c r="B66" s="72" t="s">
        <v>151</v>
      </c>
      <c r="C66" s="65" t="s">
        <v>152</v>
      </c>
      <c r="D66" s="66" t="s">
        <v>133</v>
      </c>
      <c r="E66" s="67" t="s">
        <v>134</v>
      </c>
      <c r="F66" s="73" t="s">
        <v>153</v>
      </c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customHeight="1">
      <c r="A67" s="1"/>
      <c r="B67" s="72">
        <v>1</v>
      </c>
      <c r="C67" s="69"/>
      <c r="D67" s="69"/>
      <c r="E67" s="70"/>
      <c r="F67" s="74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customHeight="1">
      <c r="A68" s="1"/>
      <c r="B68" s="72">
        <v>2</v>
      </c>
      <c r="C68" s="69"/>
      <c r="D68" s="69"/>
      <c r="E68" s="70"/>
      <c r="F68" s="74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25" customHeight="1">
      <c r="A69" s="1"/>
      <c r="B69" s="72">
        <v>3</v>
      </c>
      <c r="C69" s="69"/>
      <c r="D69" s="69"/>
      <c r="E69" s="70"/>
      <c r="F69" s="74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25" customHeight="1">
      <c r="A70" s="1"/>
      <c r="B70" s="72">
        <v>4</v>
      </c>
      <c r="C70" s="69"/>
      <c r="D70" s="69"/>
      <c r="E70" s="70"/>
      <c r="F70" s="74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customHeight="1">
      <c r="A71" s="1"/>
      <c r="B71" s="72">
        <v>5</v>
      </c>
      <c r="C71" s="69"/>
      <c r="D71" s="69"/>
      <c r="E71" s="70"/>
      <c r="F71" s="74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25" customHeight="1">
      <c r="A72" s="1"/>
      <c r="B72" s="72">
        <v>6</v>
      </c>
      <c r="C72" s="69"/>
      <c r="D72" s="69"/>
      <c r="E72" s="70"/>
      <c r="F72" s="74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customHeight="1">
      <c r="A73" s="1"/>
      <c r="B73" s="72">
        <v>7</v>
      </c>
      <c r="C73" s="69"/>
      <c r="D73" s="69"/>
      <c r="E73" s="70"/>
      <c r="F73" s="74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customHeight="1">
      <c r="A74" s="1"/>
      <c r="B74" s="72">
        <v>8</v>
      </c>
      <c r="C74" s="69"/>
      <c r="D74" s="69"/>
      <c r="E74" s="70"/>
      <c r="F74" s="74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customHeight="1">
      <c r="A75" s="1"/>
      <c r="B75" s="72">
        <v>9</v>
      </c>
      <c r="C75" s="69"/>
      <c r="D75" s="69"/>
      <c r="E75" s="70"/>
      <c r="F75" s="74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customHeight="1">
      <c r="A76" s="1"/>
      <c r="B76" s="72">
        <v>10</v>
      </c>
      <c r="C76" s="69"/>
      <c r="D76" s="69"/>
      <c r="E76" s="70"/>
      <c r="F76" s="74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customHeight="1">
      <c r="A77" s="1"/>
      <c r="B77" s="72">
        <v>11</v>
      </c>
      <c r="C77" s="69"/>
      <c r="D77" s="69"/>
      <c r="E77" s="70"/>
      <c r="F77" s="74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customHeight="1">
      <c r="A78" s="1"/>
      <c r="B78" s="72">
        <v>12</v>
      </c>
      <c r="C78" s="69"/>
      <c r="D78" s="69"/>
      <c r="E78" s="70"/>
      <c r="F78" s="74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customHeight="1">
      <c r="A79" s="1"/>
      <c r="B79" s="72">
        <v>13</v>
      </c>
      <c r="C79" s="69"/>
      <c r="D79" s="69"/>
      <c r="E79" s="70"/>
      <c r="F79" s="74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customHeight="1">
      <c r="A80" s="1"/>
      <c r="B80" s="72">
        <v>14</v>
      </c>
      <c r="C80" s="69"/>
      <c r="D80" s="69"/>
      <c r="E80" s="70"/>
      <c r="F80" s="74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customHeight="1">
      <c r="A81" s="1"/>
      <c r="B81" s="72">
        <v>15</v>
      </c>
      <c r="C81" s="69"/>
      <c r="D81" s="69"/>
      <c r="E81" s="70"/>
      <c r="F81" s="74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customHeight="1">
      <c r="A82" s="1"/>
      <c r="B82" s="134" t="s">
        <v>154</v>
      </c>
      <c r="C82" s="117"/>
      <c r="D82" s="118"/>
      <c r="E82" s="135" t="e">
        <f>AVERAGE(F67:F81)</f>
        <v>#DIV/0!</v>
      </c>
      <c r="F82" s="118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customHeight="1">
      <c r="A83" s="1"/>
      <c r="B83" s="134" t="s">
        <v>155</v>
      </c>
      <c r="C83" s="117"/>
      <c r="D83" s="118"/>
      <c r="E83" s="136" t="e">
        <f>_xlfn.STDEV.S(F67:F81)</f>
        <v>#DIV/0!</v>
      </c>
      <c r="F83" s="118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customHeight="1">
      <c r="A84" s="1"/>
      <c r="B84" s="134" t="s">
        <v>156</v>
      </c>
      <c r="C84" s="117"/>
      <c r="D84" s="118"/>
      <c r="E84" s="135" t="e">
        <f>E83/E82</f>
        <v>#DIV/0!</v>
      </c>
      <c r="F84" s="118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customHeight="1">
      <c r="A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customHeight="1">
      <c r="A88" s="1"/>
      <c r="B88" s="110" t="s">
        <v>157</v>
      </c>
      <c r="C88" s="111"/>
      <c r="D88" s="111"/>
      <c r="E88" s="111"/>
      <c r="F88" s="111"/>
      <c r="G88" s="111"/>
      <c r="H88" s="111"/>
      <c r="I88" s="111"/>
      <c r="J88" s="111"/>
      <c r="K88" s="111"/>
      <c r="L88" s="112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" customHeight="1">
      <c r="A89" s="1"/>
      <c r="B89" s="113"/>
      <c r="C89" s="114"/>
      <c r="D89" s="114"/>
      <c r="E89" s="114"/>
      <c r="F89" s="114"/>
      <c r="G89" s="114"/>
      <c r="H89" s="114"/>
      <c r="I89" s="114"/>
      <c r="J89" s="114"/>
      <c r="K89" s="114"/>
      <c r="L89" s="115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30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30" customHeight="1">
      <c r="A91" s="1"/>
      <c r="B91" s="141" t="s">
        <v>158</v>
      </c>
      <c r="C91" s="118"/>
      <c r="E91" s="75" t="s">
        <v>159</v>
      </c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57" customHeight="1">
      <c r="A92" s="1"/>
      <c r="B92" s="76" t="s">
        <v>160</v>
      </c>
      <c r="C92" s="76" t="s">
        <v>161</v>
      </c>
      <c r="E92" s="77" t="s">
        <v>162</v>
      </c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30" customHeight="1">
      <c r="A93" s="1"/>
      <c r="B93" s="78">
        <f t="shared" ref="B93:B102" si="0">E67</f>
        <v>0</v>
      </c>
      <c r="C93" s="79">
        <v>0</v>
      </c>
      <c r="E93" s="80" t="s">
        <v>163</v>
      </c>
      <c r="F93" s="80" t="s">
        <v>164</v>
      </c>
      <c r="G93" s="80" t="s">
        <v>165</v>
      </c>
      <c r="H93" s="80" t="s">
        <v>20</v>
      </c>
      <c r="I93" s="80" t="s">
        <v>166</v>
      </c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30" customHeight="1">
      <c r="A94" s="1"/>
      <c r="B94" s="78">
        <f t="shared" si="0"/>
        <v>0</v>
      </c>
      <c r="C94" s="79">
        <v>0</v>
      </c>
      <c r="E94" s="81">
        <v>1</v>
      </c>
      <c r="F94" s="81"/>
      <c r="G94" s="81"/>
      <c r="H94" s="81"/>
      <c r="I94" s="8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30" customHeight="1">
      <c r="A95" s="1"/>
      <c r="B95" s="78">
        <f t="shared" si="0"/>
        <v>0</v>
      </c>
      <c r="C95" s="79">
        <v>0</v>
      </c>
      <c r="E95" s="82">
        <v>2</v>
      </c>
      <c r="F95" s="82"/>
      <c r="G95" s="82"/>
      <c r="H95" s="82"/>
      <c r="I95" s="82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30" customHeight="1">
      <c r="A96" s="1"/>
      <c r="B96" s="78">
        <f t="shared" si="0"/>
        <v>0</v>
      </c>
      <c r="C96" s="79">
        <v>0</v>
      </c>
      <c r="E96" s="1"/>
      <c r="F96" s="1"/>
      <c r="G96" s="1"/>
      <c r="H96" s="1"/>
      <c r="I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30" customHeight="1">
      <c r="A97" s="1"/>
      <c r="B97" s="78">
        <f t="shared" si="0"/>
        <v>0</v>
      </c>
      <c r="C97" s="79">
        <v>0</v>
      </c>
      <c r="E97" s="77" t="s">
        <v>167</v>
      </c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30" customHeight="1">
      <c r="A98" s="1"/>
      <c r="B98" s="78">
        <f t="shared" si="0"/>
        <v>0</v>
      </c>
      <c r="C98" s="79">
        <v>0</v>
      </c>
      <c r="E98" s="83" t="s">
        <v>168</v>
      </c>
      <c r="F98" s="80" t="s">
        <v>169</v>
      </c>
      <c r="G98" s="83" t="s">
        <v>170</v>
      </c>
      <c r="H98" s="83" t="s">
        <v>171</v>
      </c>
      <c r="I98" s="80" t="s">
        <v>172</v>
      </c>
      <c r="J98" s="80" t="s">
        <v>173</v>
      </c>
      <c r="K98" s="80" t="s">
        <v>174</v>
      </c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30" customHeight="1">
      <c r="A99" s="1"/>
      <c r="B99" s="78">
        <f t="shared" si="0"/>
        <v>0</v>
      </c>
      <c r="C99" s="79">
        <v>0</v>
      </c>
      <c r="E99" s="84" t="s">
        <v>175</v>
      </c>
      <c r="F99" s="81"/>
      <c r="G99" s="81"/>
      <c r="H99" s="81"/>
      <c r="I99" s="81"/>
      <c r="J99" s="81"/>
      <c r="K99" s="8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30" customHeight="1">
      <c r="A100" s="1"/>
      <c r="B100" s="78">
        <f t="shared" si="0"/>
        <v>0</v>
      </c>
      <c r="C100" s="79">
        <v>0</v>
      </c>
      <c r="E100" s="84" t="s">
        <v>176</v>
      </c>
      <c r="F100" s="81"/>
      <c r="G100" s="81"/>
      <c r="H100" s="81"/>
      <c r="I100" s="81"/>
      <c r="J100" s="81"/>
      <c r="K100" s="8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30" customHeight="1">
      <c r="A101" s="1"/>
      <c r="B101" s="78">
        <f t="shared" si="0"/>
        <v>0</v>
      </c>
      <c r="C101" s="79">
        <v>0</v>
      </c>
      <c r="E101" s="84"/>
      <c r="F101" s="81"/>
      <c r="G101" s="81"/>
      <c r="H101" s="81"/>
      <c r="I101" s="81"/>
      <c r="J101" s="81"/>
      <c r="K101" s="8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30" customHeight="1">
      <c r="A102" s="1"/>
      <c r="B102" s="78">
        <f t="shared" si="0"/>
        <v>0</v>
      </c>
      <c r="C102" s="79">
        <v>0</v>
      </c>
      <c r="E102" s="85" t="s">
        <v>177</v>
      </c>
      <c r="F102" s="82"/>
      <c r="G102" s="82"/>
      <c r="H102" s="82"/>
      <c r="I102" s="82"/>
      <c r="J102" s="82"/>
      <c r="K102" s="82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30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customHeight="1">
      <c r="A105" s="1"/>
      <c r="B105" s="110" t="s">
        <v>178</v>
      </c>
      <c r="C105" s="111"/>
      <c r="D105" s="111"/>
      <c r="E105" s="111"/>
      <c r="F105" s="111"/>
      <c r="G105" s="111"/>
      <c r="H105" s="111"/>
      <c r="I105" s="111"/>
      <c r="J105" s="111"/>
      <c r="K105" s="111"/>
      <c r="L105" s="112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customHeight="1">
      <c r="A106" s="1"/>
      <c r="B106" s="113"/>
      <c r="C106" s="114"/>
      <c r="D106" s="114"/>
      <c r="E106" s="114"/>
      <c r="F106" s="114"/>
      <c r="G106" s="114"/>
      <c r="H106" s="114"/>
      <c r="I106" s="114"/>
      <c r="J106" s="114"/>
      <c r="K106" s="114"/>
      <c r="L106" s="115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>
      <c r="A109" s="1"/>
      <c r="B109" s="137" t="s">
        <v>179</v>
      </c>
      <c r="C109" s="117"/>
      <c r="D109" s="118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>
      <c r="A110" s="1"/>
      <c r="B110" s="137" t="s">
        <v>180</v>
      </c>
      <c r="C110" s="117"/>
      <c r="D110" s="118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>
      <c r="A111" s="1"/>
      <c r="B111" s="86" t="s">
        <v>181</v>
      </c>
      <c r="C111" s="72" t="s">
        <v>134</v>
      </c>
      <c r="D111" s="72" t="s">
        <v>182</v>
      </c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9.25" customHeight="1">
      <c r="A112" s="1"/>
      <c r="B112" s="87">
        <v>1</v>
      </c>
      <c r="C112" s="88"/>
      <c r="D112" s="89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>
      <c r="A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>
      <c r="A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>
      <c r="A115" s="1"/>
      <c r="D115" s="90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>
      <c r="A116" s="1"/>
      <c r="B116" s="137" t="s">
        <v>183</v>
      </c>
      <c r="C116" s="117"/>
      <c r="D116" s="118"/>
      <c r="F116" s="137" t="s">
        <v>184</v>
      </c>
      <c r="G116" s="117"/>
      <c r="H116" s="118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>
      <c r="A117" s="1"/>
      <c r="B117" s="68" t="s">
        <v>185</v>
      </c>
      <c r="C117" s="138" t="s">
        <v>134</v>
      </c>
      <c r="D117" s="118"/>
      <c r="F117" s="68" t="s">
        <v>185</v>
      </c>
      <c r="G117" s="138" t="s">
        <v>134</v>
      </c>
      <c r="H117" s="118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42.75" customHeight="1">
      <c r="A118" s="1"/>
      <c r="B118" s="91" t="s">
        <v>186</v>
      </c>
      <c r="C118" s="139"/>
      <c r="D118" s="118"/>
      <c r="F118" s="92" t="s">
        <v>187</v>
      </c>
      <c r="G118" s="139"/>
      <c r="H118" s="118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>
      <c r="A122" s="1"/>
      <c r="B122" s="140" t="s">
        <v>188</v>
      </c>
      <c r="C122" s="94"/>
      <c r="D122" s="94"/>
      <c r="E122" s="94"/>
      <c r="F122" s="94"/>
      <c r="G122" s="94"/>
      <c r="H122" s="94"/>
      <c r="I122" s="94"/>
      <c r="J122" s="94"/>
      <c r="K122" s="94"/>
      <c r="L122" s="94"/>
      <c r="M122" s="94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>
      <c r="A123" s="1"/>
      <c r="B123" s="94"/>
      <c r="C123" s="94"/>
      <c r="D123" s="94"/>
      <c r="E123" s="94"/>
      <c r="F123" s="94"/>
      <c r="G123" s="94"/>
      <c r="H123" s="94"/>
      <c r="I123" s="94"/>
      <c r="J123" s="94"/>
      <c r="K123" s="94"/>
      <c r="L123" s="94"/>
      <c r="M123" s="94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>
      <c r="A124" s="1"/>
      <c r="B124" s="94"/>
      <c r="C124" s="94"/>
      <c r="D124" s="94"/>
      <c r="E124" s="94"/>
      <c r="F124" s="94"/>
      <c r="G124" s="94"/>
      <c r="H124" s="94"/>
      <c r="I124" s="94"/>
      <c r="J124" s="94"/>
      <c r="K124" s="94"/>
      <c r="L124" s="94"/>
      <c r="M124" s="94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>
      <c r="A125" s="1"/>
      <c r="B125" s="94"/>
      <c r="C125" s="94"/>
      <c r="D125" s="94"/>
      <c r="E125" s="94"/>
      <c r="F125" s="94"/>
      <c r="G125" s="94"/>
      <c r="H125" s="94"/>
      <c r="I125" s="94"/>
      <c r="J125" s="94"/>
      <c r="K125" s="94"/>
      <c r="L125" s="94"/>
      <c r="M125" s="94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.2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.2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.2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2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2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2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2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2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2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2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2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2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2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2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2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2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2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2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2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2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2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2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2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2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2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2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2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2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2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2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2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2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2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2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2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2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2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2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2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2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2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2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2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2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2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2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2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2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2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2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2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2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2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2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2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2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2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2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2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2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2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2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2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2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2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2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2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2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2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2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2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2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2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2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2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2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2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2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2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2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2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2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2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2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2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2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2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2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2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2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2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2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2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2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2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2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2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2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2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2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2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2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2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2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2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2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2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2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2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2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2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2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2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2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2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2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2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.2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.2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2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2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2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2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2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2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2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2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2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2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2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2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2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2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2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2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2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2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2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2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2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2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2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2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2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2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2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2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2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2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2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.2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.2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2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2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2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2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2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2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2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2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2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2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2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2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2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2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2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2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2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2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2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2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2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.2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2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2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2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2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2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2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2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2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2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.2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.2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2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2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2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2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2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2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2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.2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.2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.2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.2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.2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.2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.2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.2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.2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.2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.2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.2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.2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.2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.2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.2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.2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.2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.2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.2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.2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.2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.2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.2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.2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.2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.2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.2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.2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.2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.2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.2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.2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.2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.2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.2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.2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.2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.2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.2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.2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.2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.2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.2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.2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.2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.2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.2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.2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.2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.2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.2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.2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.2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.2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.2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.2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.2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.2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.2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.2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.2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.2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.2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.2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.2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.2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.2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.2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.2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.2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.2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.2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.2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.2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.2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.2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.2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.2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.2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.2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.2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.2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.2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.2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.2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.2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.2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.2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.2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.2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.2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.2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.2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.2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.2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.2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.2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.2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.2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.2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.2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.2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.2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.2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.2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.2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.2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.2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.2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.2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.2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.2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.2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.2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.2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.2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.2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.2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.2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.2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.2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.2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.2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.2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.2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.2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.2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.2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.2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.2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.2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.2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.2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.2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.2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.2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.2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.2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.2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.2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.2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.2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.2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.2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.2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.2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.2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.2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.2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.2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.2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.2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.2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.2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.2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.2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.2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.2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.2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.2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.2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.2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.2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.2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.2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.2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.2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.2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.2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.2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.2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.2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.2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.2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.2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.2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.2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.2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.2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.2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.2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.2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.2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.2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.2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.2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.2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.2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.2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.2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.2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.2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.2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.2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.2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.2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.2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.2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.2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.2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.2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.2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.2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.2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.2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.2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.2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.2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.2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.2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.2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.2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.2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.2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.2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.2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.2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.2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.2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.2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.2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.2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.2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.2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.2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.2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.2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.2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.2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.2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.2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.2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.2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.2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.2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.2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.2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.2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.2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.2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.2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.2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.2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.2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.2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.2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.2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.2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.2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.2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.2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.2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.2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.2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.2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.2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.2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.2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.2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.2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.2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.2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.2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.2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.2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.2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.2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.2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.2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.2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.2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.2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.2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.2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.2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.2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.2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.2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.2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.2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.2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.2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.2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.2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.2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.2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.2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.2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.2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.2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.2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.2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.2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.2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.2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.2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.2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.2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.2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.2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.2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.2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.2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.2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.2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.2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.2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.2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.2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.2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.2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.2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.2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.2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.2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.2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.2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.2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.2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.2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.2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.2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.2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.2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.2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.2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.2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.2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.2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.2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.2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.2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.2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.2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.2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.2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.2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.2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.2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.2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.2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.2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.2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.2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.2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.2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.2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.2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.2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.2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.2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.2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.2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.2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.2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.2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.2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.2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.2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.2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.2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.2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.2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.2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.2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.2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.2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.2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.2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.2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.2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.2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.2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.2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.2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.2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.2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.2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.2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.2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.2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.2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.2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.2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.2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.2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.2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.2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.2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.2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.2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.2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.2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.2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.2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.2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.2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.2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.2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.2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.2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.2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.2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.2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.2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.2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.2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.2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.2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.2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.2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.2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.2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.2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.2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.2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.2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.2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.2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.2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.2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.2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.2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.2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.2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.2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.2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.2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.2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.2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.2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.2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.2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.2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.2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.2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.2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.2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.2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.2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.2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.2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.2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.2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.2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.2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.2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.2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.2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.2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.2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.2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.2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.2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.2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.2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.2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.2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.2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.2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4.2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.2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.2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.2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.2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.2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.2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.2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4.2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.2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.2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.2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.2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.2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.2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.2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4.2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4.2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4.2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.2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.2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.2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.2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.2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.2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.2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.2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4.2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.2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.2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.2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4.2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4.2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4.2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4.2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4.2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4.2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4.2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4.2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4.2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4.2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4.2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4.2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4.2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4.2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4.2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4.2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4.2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4.2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4.2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4.2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4.2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4.2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4.2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4.2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4.2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4.2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4.2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4.2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4.2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4.2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4.2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48">
    <mergeCell ref="B122:M125"/>
    <mergeCell ref="B84:D84"/>
    <mergeCell ref="B88:L89"/>
    <mergeCell ref="B91:C91"/>
    <mergeCell ref="B105:L106"/>
    <mergeCell ref="B109:D109"/>
    <mergeCell ref="B110:D110"/>
    <mergeCell ref="F116:H116"/>
    <mergeCell ref="E84:F84"/>
    <mergeCell ref="B116:D116"/>
    <mergeCell ref="C117:D117"/>
    <mergeCell ref="G117:H117"/>
    <mergeCell ref="C118:D118"/>
    <mergeCell ref="G118:H118"/>
    <mergeCell ref="B64:F64"/>
    <mergeCell ref="B65:F65"/>
    <mergeCell ref="B82:D82"/>
    <mergeCell ref="E82:F82"/>
    <mergeCell ref="B83:D83"/>
    <mergeCell ref="E83:F83"/>
    <mergeCell ref="B57:D57"/>
    <mergeCell ref="E57:F57"/>
    <mergeCell ref="B58:D58"/>
    <mergeCell ref="E58:F58"/>
    <mergeCell ref="B60:L61"/>
    <mergeCell ref="B54:D54"/>
    <mergeCell ref="E54:F54"/>
    <mergeCell ref="B55:D55"/>
    <mergeCell ref="E55:F55"/>
    <mergeCell ref="B56:D56"/>
    <mergeCell ref="E56:F56"/>
    <mergeCell ref="B51:F51"/>
    <mergeCell ref="E52:F52"/>
    <mergeCell ref="B52:D52"/>
    <mergeCell ref="B53:D53"/>
    <mergeCell ref="E53:F53"/>
    <mergeCell ref="E47:F47"/>
    <mergeCell ref="B47:D47"/>
    <mergeCell ref="B48:D48"/>
    <mergeCell ref="E48:F48"/>
    <mergeCell ref="B49:D49"/>
    <mergeCell ref="E49:F49"/>
    <mergeCell ref="C2:L2"/>
    <mergeCell ref="B7:L7"/>
    <mergeCell ref="B10:L11"/>
    <mergeCell ref="B14:F14"/>
    <mergeCell ref="B46:D46"/>
    <mergeCell ref="E46:F46"/>
  </mergeCells>
  <pageMargins left="0.7" right="0.7" top="0.75" bottom="0.75" header="0" footer="0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FQ</vt:lpstr>
      <vt:lpstr>MB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 FLOREZ</dc:creator>
  <cp:lastModifiedBy>Katherin Betancur Henao</cp:lastModifiedBy>
  <dcterms:created xsi:type="dcterms:W3CDTF">2023-05-22T20:01:28Z</dcterms:created>
  <dcterms:modified xsi:type="dcterms:W3CDTF">2026-04-22T15:53:23Z</dcterms:modified>
</cp:coreProperties>
</file>