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xml"/>
  <Override PartName="/xl/drawings/drawing8.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9.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style5.xml" ContentType="application/vnd.ms-office.chartstyle+xml"/>
  <Override PartName="/xl/charts/colors5.xml" ContentType="application/vnd.ms-office.chartcolorstyle+xml"/>
  <Override PartName="/xl/charts/chart11.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0.xml" ContentType="application/vnd.openxmlformats-officedocument.drawing+xml"/>
  <Override PartName="/xl/comments1.xml" ContentType="application/vnd.openxmlformats-officedocument.spreadsheetml.comments+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drawings/drawing11.xml" ContentType="application/vnd.openxmlformats-officedocument.drawing+xml"/>
  <Override PartName="/xl/charts/chart24.xml" ContentType="application/vnd.openxmlformats-officedocument.drawingml.chart+xml"/>
  <Override PartName="/xl/charts/style7.xml" ContentType="application/vnd.ms-office.chartstyle+xml"/>
  <Override PartName="/xl/charts/colors7.xml" ContentType="application/vnd.ms-office.chartcolorstyle+xml"/>
  <Override PartName="/xl/charts/chart25.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2.xml" ContentType="application/vnd.openxmlformats-officedocument.drawing+xml"/>
  <Override PartName="/xl/comments2.xml" ContentType="application/vnd.openxmlformats-officedocument.spreadsheetml.comments+xml"/>
  <Override PartName="/xl/drawings/drawing13.xml" ContentType="application/vnd.openxmlformats-officedocument.drawing+xml"/>
  <Override PartName="/xl/drawings/drawing14.xml" ContentType="application/vnd.openxmlformats-officedocument.drawing+xml"/>
  <Override PartName="/xl/charts/chart26.xml" ContentType="application/vnd.openxmlformats-officedocument.drawingml.chart+xml"/>
  <Override PartName="/xl/charts/style9.xml" ContentType="application/vnd.ms-office.chartstyle+xml"/>
  <Override PartName="/xl/charts/colors9.xml" ContentType="application/vnd.ms-office.chartcolorstyle+xml"/>
  <Override PartName="/xl/charts/chart27.xml" ContentType="application/vnd.openxmlformats-officedocument.drawingml.chart+xml"/>
  <Override PartName="/xl/charts/style10.xml" ContentType="application/vnd.ms-office.chartstyle+xml"/>
  <Override PartName="/xl/charts/colors10.xml" ContentType="application/vnd.ms-office.chartcolorstyle+xml"/>
  <Override PartName="/xl/charts/chart28.xml" ContentType="application/vnd.openxmlformats-officedocument.drawingml.chart+xml"/>
  <Override PartName="/xl/charts/style11.xml" ContentType="application/vnd.ms-office.chartstyle+xml"/>
  <Override PartName="/xl/charts/colors11.xml" ContentType="application/vnd.ms-office.chartcolorstyle+xml"/>
  <Override PartName="/xl/charts/chart29.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5.xml" ContentType="application/vnd.openxmlformats-officedocument.drawing+xml"/>
  <Override PartName="/xl/drawings/drawing16.xml" ContentType="application/vnd.openxmlformats-officedocument.drawing+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drawings/drawing17.xml" ContentType="application/vnd.openxmlformats-officedocument.drawing+xml"/>
  <Override PartName="/xl/drawings/drawing18.xml" ContentType="application/vnd.openxmlformats-officedocument.drawing+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drawings/drawing19.xml" ContentType="application/vnd.openxmlformats-officedocument.drawing+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charts/chart40.xml" ContentType="application/vnd.openxmlformats-officedocument.drawingml.chart+xml"/>
  <Override PartName="/xl/drawings/drawing20.xml" ContentType="application/vnd.openxmlformats-officedocument.drawing+xml"/>
  <Override PartName="/xl/drawings/drawing21.xml" ContentType="application/vnd.openxmlformats-officedocument.drawing+xml"/>
  <Override PartName="/xl/charts/chart41.xml" ContentType="application/vnd.openxmlformats-officedocument.drawingml.chart+xml"/>
  <Override PartName="/xl/charts/chart42.xml" ContentType="application/vnd.openxmlformats-officedocument.drawingml.chart+xml"/>
  <Override PartName="/xl/charts/chart43.xml" ContentType="application/vnd.openxmlformats-officedocument.drawingml.chart+xml"/>
  <Override PartName="/xl/charts/chart44.xml" ContentType="application/vnd.openxmlformats-officedocument.drawingml.chart+xml"/>
  <Override PartName="/xl/drawings/drawing22.xml" ContentType="application/vnd.openxmlformats-officedocument.drawing+xml"/>
  <Override PartName="/xl/charts/chart45.xml" ContentType="application/vnd.openxmlformats-officedocument.drawingml.chart+xml"/>
  <Override PartName="/xl/charts/chart46.xml" ContentType="application/vnd.openxmlformats-officedocument.drawingml.chart+xml"/>
  <Override PartName="/xl/drawings/drawing23.xml" ContentType="application/vnd.openxmlformats-officedocument.drawing+xml"/>
  <Override PartName="/xl/charts/chart47.xml" ContentType="application/vnd.openxmlformats-officedocument.drawingml.chart+xml"/>
  <Override PartName="/xl/charts/chart48.xml" ContentType="application/vnd.openxmlformats-officedocument.drawingml.chart+xml"/>
  <Override PartName="/xl/charts/chart49.xml" ContentType="application/vnd.openxmlformats-officedocument.drawingml.chart+xml"/>
  <Override PartName="/xl/charts/chart50.xml" ContentType="application/vnd.openxmlformats-officedocument.drawingml.chart+xml"/>
  <Override PartName="/xl/charts/chart51.xml" ContentType="application/vnd.openxmlformats-officedocument.drawingml.chart+xml"/>
  <Override PartName="/xl/charts/chart52.xml" ContentType="application/vnd.openxmlformats-officedocument.drawingml.chart+xml"/>
  <Override PartName="/xl/drawings/drawing24.xml" ContentType="application/vnd.openxmlformats-officedocument.drawing+xml"/>
  <Override PartName="/xl/drawings/drawing2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2"/>
  <workbookPr defaultThemeVersion="124226"/>
  <mc:AlternateContent xmlns:mc="http://schemas.openxmlformats.org/markup-compatibility/2006">
    <mc:Choice Requires="x15">
      <x15ac:absPath xmlns:x15ac="http://schemas.microsoft.com/office/spreadsheetml/2010/11/ac" url="G:\Mi unidad\2024\1. SGC\PROC MEJOR SGC\FORMATOS\"/>
    </mc:Choice>
  </mc:AlternateContent>
  <xr:revisionPtr revIDLastSave="0" documentId="13_ncr:1_{8CD29523-94A3-4F50-8B82-6B8923630C20}" xr6:coauthVersionLast="36" xr6:coauthVersionMax="36" xr10:uidLastSave="{00000000-0000-0000-0000-000000000000}"/>
  <bookViews>
    <workbookView xWindow="-120" yWindow="-120" windowWidth="24240" windowHeight="13140" tabRatio="901" xr2:uid="{00000000-000D-0000-FFFF-FFFF00000000}"/>
  </bookViews>
  <sheets>
    <sheet name="Hoja 1. Inicio - Matriz Indic" sheetId="4" r:id="rId1"/>
    <sheet name="Hoja 2. DI" sheetId="1" r:id="rId2"/>
    <sheet name="Hoja 3. MJ" sheetId="14" r:id="rId3"/>
    <sheet name="Hoja 4. PG" sheetId="23" r:id="rId4"/>
    <sheet name="Hoja 4. PG-4 (2)" sheetId="128" state="hidden" r:id="rId5"/>
    <sheet name="Hoja 4. PG-7 (2)" sheetId="129" state="hidden" r:id="rId6"/>
    <sheet name="Hoja 5. GP" sheetId="33" r:id="rId7"/>
    <sheet name="Hoja 5. GP 2017" sheetId="24" state="hidden" r:id="rId8"/>
    <sheet name="Hoja 6. AA" sheetId="26" state="hidden" r:id="rId9"/>
    <sheet name="Hoja 6. AA2" sheetId="17" state="hidden" r:id="rId10"/>
    <sheet name="Hoja 5. GP-7 (2)" sheetId="127" state="hidden" r:id="rId11"/>
    <sheet name="Hoja 6. AA." sheetId="38" r:id="rId12"/>
    <sheet name="Hoja 6. AA 2018" sheetId="35" state="hidden" r:id="rId13"/>
    <sheet name="Hoja 6. AA 2017" sheetId="32" state="hidden" r:id="rId14"/>
    <sheet name="Hoja 7. TH" sheetId="29" r:id="rId15"/>
    <sheet name="Hoja 7. TH2" sheetId="18" state="hidden" r:id="rId16"/>
    <sheet name="Hoja 8. RI" sheetId="27" r:id="rId17"/>
    <sheet name="Hoja 8. RI2 " sheetId="25" state="hidden" r:id="rId18"/>
    <sheet name="Hoja 8. RI 2015" sheetId="19" state="hidden" r:id="rId19"/>
    <sheet name="Hoja 9. FC" sheetId="34" r:id="rId20"/>
    <sheet name="Hoja 9. FC 2017" sheetId="28" state="hidden" r:id="rId21"/>
    <sheet name="Hoja 9. FC2" sheetId="20" state="hidden" r:id="rId22"/>
    <sheet name="Hoja 10. LABORATORIO DE AGUA" sheetId="22" state="hidden" r:id="rId23"/>
    <sheet name="HOJA 10. LAB AGUA" sheetId="37" r:id="rId24"/>
    <sheet name="Hoja 11. TABLA DE CONTROL" sheetId="11" state="hidden" r:id="rId25"/>
  </sheets>
  <externalReferences>
    <externalReference r:id="rId26"/>
    <externalReference r:id="rId27"/>
    <externalReference r:id="rId28"/>
    <externalReference r:id="rId29"/>
    <externalReference r:id="rId30"/>
  </externalReferences>
  <definedNames>
    <definedName name="_xlnm.Print_Area" localSheetId="0">'Hoja 1. Inicio - Matriz Indic'!$A$1:$J$50</definedName>
    <definedName name="_xlnm.Print_Area" localSheetId="22">'Hoja 10. LABORATORIO DE AGUA'!#REF!</definedName>
    <definedName name="_xlnm.Print_Area" localSheetId="24">'Hoja 11. TABLA DE CONTROL'!$A$1:$D$67</definedName>
    <definedName name="_xlnm.Print_Area" localSheetId="7">'Hoja 5. GP 2017'!#REF!</definedName>
    <definedName name="_xlnm.Print_Area" localSheetId="8">'Hoja 6. AA'!#REF!</definedName>
    <definedName name="_xlnm.Print_Area" localSheetId="13">'Hoja 6. AA 2017'!#REF!</definedName>
    <definedName name="_xlnm.Print_Area" localSheetId="12">'Hoja 6. AA 2018'!#REF!</definedName>
    <definedName name="_xlnm.Print_Area" localSheetId="9">'Hoja 6. AA2'!#REF!</definedName>
    <definedName name="_xlnm.Print_Area" localSheetId="15">'Hoja 7. TH2'!#REF!</definedName>
    <definedName name="_xlnm.Print_Area" localSheetId="18">'Hoja 8. RI 2015'!#REF!</definedName>
    <definedName name="_xlnm.Print_Area" localSheetId="17">'Hoja 8. RI2 '!#REF!</definedName>
    <definedName name="_xlnm.Print_Area" localSheetId="20">'Hoja 9. FC 2017'!#REF!</definedName>
    <definedName name="_xlnm.Print_Area" localSheetId="21">'Hoja 9. FC2'!#REF!</definedName>
    <definedName name="N°_DE_EQUIPOS_ADQUIRIDOS_O_REPUESTOS_PARA_LA_PRESTACIÓN_DE_SERVICIOS_SOLICITADOS_POR_LOS_USUARIOS." localSheetId="23">'[1]Hoja 11. TABLA DE CONTROL'!#REF!</definedName>
    <definedName name="N°_DE_EQUIPOS_ADQUIRIDOS_O_REPUESTOS_PARA_LA_PRESTACIÓN_DE_SERVICIOS_SOLICITADOS_POR_LOS_USUARIOS." localSheetId="22">'Hoja 11. TABLA DE CONTROL'!#REF!</definedName>
    <definedName name="N°_DE_EQUIPOS_ADQUIRIDOS_O_REPUESTOS_PARA_LA_PRESTACIÓN_DE_SERVICIOS_SOLICITADOS_POR_LOS_USUARIOS." localSheetId="3">'Hoja 11. TABLA DE CONTROL'!#REF!</definedName>
    <definedName name="N°_DE_EQUIPOS_ADQUIRIDOS_O_REPUESTOS_PARA_LA_PRESTACIÓN_DE_SERVICIOS_SOLICITADOS_POR_LOS_USUARIOS." localSheetId="6">'[2]Hoja 11. TABLA DE CONTROL'!#REF!</definedName>
    <definedName name="N°_DE_EQUIPOS_ADQUIRIDOS_O_REPUESTOS_PARA_LA_PRESTACIÓN_DE_SERVICIOS_SOLICITADOS_POR_LOS_USUARIOS." localSheetId="7">'Hoja 11. TABLA DE CONTROL'!#REF!</definedName>
    <definedName name="N°_DE_EQUIPOS_ADQUIRIDOS_O_REPUESTOS_PARA_LA_PRESTACIÓN_DE_SERVICIOS_SOLICITADOS_POR_LOS_USUARIOS." localSheetId="14">'Hoja 11. TABLA DE CONTROL'!#REF!</definedName>
    <definedName name="N°_DE_EQUIPOS_ADQUIRIDOS_O_REPUESTOS_PARA_LA_PRESTACIÓN_DE_SERVICIOS_SOLICITADOS_POR_LOS_USUARIOS." localSheetId="16">'Hoja 11. TABLA DE CONTROL'!#REF!</definedName>
    <definedName name="N°_DE_EQUIPOS_ADQUIRIDOS_O_REPUESTOS_PARA_LA_PRESTACIÓN_DE_SERVICIOS_SOLICITADOS_POR_LOS_USUARIOS." localSheetId="17">'Hoja 11. TABLA DE CONTROL'!#REF!</definedName>
    <definedName name="N°_DE_EQUIPOS_ADQUIRIDOS_O_REPUESTOS_PARA_LA_PRESTACIÓN_DE_SERVICIOS_SOLICITADOS_POR_LOS_USUARIOS." localSheetId="19">'[3]Hoja 11. TABLA DE CONTROL'!#REF!</definedName>
    <definedName name="N°_DE_EQUIPOS_ADQUIRIDOS_O_REPUESTOS_PARA_LA_PRESTACIÓN_DE_SERVICIOS_SOLICITADOS_POR_LOS_USUARIOS." localSheetId="20">'[3]Hoja 11. TABLA DE CONTROL'!#REF!</definedName>
    <definedName name="N°_DE_EQUIPOS_ADQUIRIDOS_O_REPUESTOS_PARA_LA_PRESTACIÓN_DE_SERVICIOS_SOLICITADOS_POR_LOS_USUARIOS.">'Hoja 11. TABLA DE CONTROL'!$B$67</definedName>
    <definedName name="PORCENTAJE_____DE_TRÁMITES_RESUELTOS_EN_UN_TIEMPO_IGUAL_O_INFERIOR_A_LO_REGLAMENTADO_EN_EL_SGC.__LICENCIAS_AMBIENTALES__115_DÍAS_HÁBILES_.__CONCESIONES_DE_AGUAS_SUBTERRÁNEAS_Y_SUPERFICIALES__55_DÍAS_HÁBILES_.__PERMISOS_DE_VERTIMIENTOS__55_DÍAS_HÁBILES_." localSheetId="6">'[4]Hoja 6. AA'!$D$11</definedName>
    <definedName name="PORCENTAJE_____DE_TRÁMITES_RESUELTOS_EN_UN_TIEMPO_IGUAL_O_INFERIOR_A_LO_REGLAMENTADO_EN_EL_SGC.__LICENCIAS_AMBIENTALES__115_DÍAS_HÁBILES_.__CONCESIONES_DE_AGUAS_SUBTERRÁNEAS_Y_SUPERFICIALES__55_DÍAS_HÁBILES_.__PERMISOS_DE_VERTIMIENTOS__55_DÍAS_HÁBILES_." localSheetId="13">'Hoja 6. AA 2017'!$D$11</definedName>
    <definedName name="PORCENTAJE_____DE_TRÁMITES_RESUELTOS_EN_UN_TIEMPO_IGUAL_O_INFERIOR_A_LO_REGLAMENTADO_EN_EL_SGC.__LICENCIAS_AMBIENTALES__115_DÍAS_HÁBILES_.__CONCESIONES_DE_AGUAS_SUBTERRÁNEAS_Y_SUPERFICIALES__55_DÍAS_HÁBILES_.__PERMISOS_DE_VERTIMIENTOS__55_DÍAS_HÁBILES_." localSheetId="12">'Hoja 6. AA 2018'!$D$11</definedName>
    <definedName name="PORCENTAJE_____DE_TRÁMITES_RESUELTOS_EN_UN_TIEMPO_IGUAL_O_INFERIOR_A_LO_REGLAMENTADO_EN_EL_SGC.__LICENCIAS_AMBIENTALES__115_DÍAS_HÁBILES_.__CONCESIONES_DE_AGUAS_SUBTERRÁNEAS_Y_SUPERFICIALES__55_DÍAS_HÁBILES_.__PERMISOS_DE_VERTIMIENTOS__55_DÍAS_HÁBILES_." localSheetId="11">'Hoja 6. AA.'!#REF!</definedName>
    <definedName name="PORCENTAJE_____DE_TRÁMITES_RESUELTOS_EN_UN_TIEMPO_IGUAL_O_INFERIOR_A_LO_REGLAMENTADO_EN_EL_SGC.__LICENCIAS_AMBIENTALES__115_DÍAS_HÁBILES_.__CONCESIONES_DE_AGUAS_SUBTERRÁNEAS_Y_SUPERFICIALES__55_DÍAS_HÁBILES_.__PERMISOS_DE_VERTIMIENTOS__55_DÍAS_HÁBILES_." localSheetId="19">'[5]Hoja 6. AA'!$D$11</definedName>
    <definedName name="PORCENTAJE_____DE_TRÁMITES_RESUELTOS_EN_UN_TIEMPO_IGUAL_O_INFERIOR_A_LO_REGLAMENTADO_EN_EL_SGC.__LICENCIAS_AMBIENTALES__115_DÍAS_HÁBILES_.__CONCESIONES_DE_AGUAS_SUBTERRÁNEAS_Y_SUPERFICIALES__55_DÍAS_HÁBILES_.__PERMISOS_DE_VERTIMIENTOS__55_DÍAS_HÁBILES_.">'Hoja 6. AA'!$D$11</definedName>
  </definedNames>
  <calcPr calcId="191029"/>
</workbook>
</file>

<file path=xl/calcChain.xml><?xml version="1.0" encoding="utf-8"?>
<calcChain xmlns="http://schemas.openxmlformats.org/spreadsheetml/2006/main">
  <c r="D72" i="11" l="1"/>
  <c r="D71" i="11"/>
  <c r="D70" i="11"/>
  <c r="D69" i="11"/>
  <c r="D68" i="11"/>
  <c r="D67" i="11"/>
  <c r="D66" i="11"/>
  <c r="D65" i="11"/>
  <c r="D64" i="11"/>
  <c r="D63" i="11"/>
  <c r="D62" i="11"/>
  <c r="D61" i="11"/>
  <c r="D60" i="11"/>
  <c r="D59" i="11"/>
  <c r="D58" i="11"/>
  <c r="D57" i="11"/>
  <c r="D56" i="11"/>
  <c r="D55" i="11"/>
  <c r="D54" i="11"/>
  <c r="D53" i="11"/>
  <c r="D52" i="11"/>
  <c r="D51" i="11"/>
  <c r="D50" i="11"/>
  <c r="D49" i="11"/>
  <c r="D48" i="11"/>
  <c r="D47" i="11"/>
  <c r="D46" i="11"/>
  <c r="D45" i="11"/>
  <c r="D44" i="11"/>
  <c r="D43" i="11"/>
  <c r="D42" i="11"/>
  <c r="D41" i="11"/>
  <c r="D40" i="11"/>
  <c r="D39" i="11"/>
  <c r="D38" i="11"/>
  <c r="D37" i="11"/>
  <c r="D36" i="11"/>
  <c r="D35" i="11"/>
  <c r="D34" i="11"/>
  <c r="D33" i="11"/>
  <c r="D32" i="11"/>
  <c r="D31" i="11"/>
  <c r="D30" i="11"/>
  <c r="D29" i="11"/>
  <c r="D28" i="11"/>
  <c r="D27" i="11"/>
  <c r="D26" i="11"/>
  <c r="D25" i="11"/>
  <c r="D24" i="11"/>
  <c r="D23" i="11"/>
  <c r="D22" i="11"/>
  <c r="D21" i="11"/>
  <c r="D20" i="11"/>
  <c r="D19" i="11"/>
  <c r="D18" i="11"/>
  <c r="D17" i="11"/>
  <c r="D16" i="11"/>
  <c r="D15" i="11"/>
  <c r="D14" i="11"/>
  <c r="D13" i="11"/>
  <c r="D12" i="11"/>
  <c r="D11" i="11"/>
  <c r="D10" i="11"/>
  <c r="D9" i="11"/>
  <c r="D8" i="11"/>
  <c r="D7" i="11"/>
  <c r="D6" i="11"/>
  <c r="D5" i="11"/>
  <c r="D4" i="11"/>
  <c r="A205" i="22"/>
  <c r="A203" i="22"/>
  <c r="A200" i="22"/>
  <c r="A198" i="22"/>
  <c r="A196" i="22"/>
  <c r="A194" i="22"/>
  <c r="A192" i="22"/>
  <c r="A190" i="22"/>
  <c r="K188" i="22"/>
  <c r="J188" i="22"/>
  <c r="I188" i="22"/>
  <c r="K186" i="22"/>
  <c r="K185" i="22"/>
  <c r="J185" i="22"/>
  <c r="I185" i="22"/>
  <c r="K184" i="22"/>
  <c r="K183" i="22"/>
  <c r="K181" i="22"/>
  <c r="J181" i="22"/>
  <c r="I181" i="22"/>
  <c r="K180" i="22"/>
  <c r="K179" i="22"/>
  <c r="J172" i="22"/>
  <c r="A169" i="22"/>
  <c r="K166" i="22"/>
  <c r="K165" i="22"/>
  <c r="K164" i="22"/>
  <c r="K163" i="22"/>
  <c r="K162" i="22"/>
  <c r="K161" i="22"/>
  <c r="K160" i="22"/>
  <c r="K159" i="22"/>
  <c r="M154" i="22"/>
  <c r="A151" i="22"/>
  <c r="M148" i="22"/>
  <c r="L148" i="22"/>
  <c r="K148" i="22"/>
  <c r="M147" i="22"/>
  <c r="L147" i="22"/>
  <c r="K147" i="22"/>
  <c r="M146" i="22"/>
  <c r="L146" i="22"/>
  <c r="K146" i="22"/>
  <c r="M145" i="22"/>
  <c r="L145" i="22"/>
  <c r="K145" i="22"/>
  <c r="M144" i="22"/>
  <c r="L144" i="22"/>
  <c r="K144" i="22"/>
  <c r="M143" i="22"/>
  <c r="L143" i="22"/>
  <c r="K143" i="22"/>
  <c r="M142" i="22"/>
  <c r="L142" i="22"/>
  <c r="K142" i="22"/>
  <c r="M141" i="22"/>
  <c r="L141" i="22"/>
  <c r="K141" i="22"/>
  <c r="M140" i="22"/>
  <c r="L140" i="22"/>
  <c r="K140" i="22"/>
  <c r="M139" i="22"/>
  <c r="L139" i="22"/>
  <c r="K139" i="22"/>
  <c r="M138" i="22"/>
  <c r="L138" i="22"/>
  <c r="K138" i="22"/>
  <c r="M137" i="22"/>
  <c r="L137" i="22"/>
  <c r="K137" i="22"/>
  <c r="M136" i="22"/>
  <c r="L136" i="22"/>
  <c r="K136" i="22"/>
  <c r="M135" i="22"/>
  <c r="L135" i="22"/>
  <c r="K135" i="22"/>
  <c r="M134" i="22"/>
  <c r="M133" i="22"/>
  <c r="M132" i="22"/>
  <c r="M131" i="22"/>
  <c r="M130" i="22"/>
  <c r="M129" i="22"/>
  <c r="M128" i="22"/>
  <c r="M127" i="22"/>
  <c r="M126" i="22"/>
  <c r="M125" i="22"/>
  <c r="M124" i="22"/>
  <c r="M123" i="22"/>
  <c r="M122" i="22"/>
  <c r="L122" i="22"/>
  <c r="K122" i="22"/>
  <c r="M121" i="22"/>
  <c r="M120" i="22"/>
  <c r="M119" i="22"/>
  <c r="M118" i="22"/>
  <c r="M117" i="22"/>
  <c r="M116" i="22"/>
  <c r="M115" i="22"/>
  <c r="M114" i="22"/>
  <c r="M113" i="22"/>
  <c r="M112" i="22"/>
  <c r="M111" i="22"/>
  <c r="M110" i="22"/>
  <c r="M109" i="22"/>
  <c r="L109" i="22"/>
  <c r="K109" i="22"/>
  <c r="M108" i="22"/>
  <c r="M107" i="22"/>
  <c r="M106" i="22"/>
  <c r="L106" i="22"/>
  <c r="K106" i="22"/>
  <c r="M105" i="22"/>
  <c r="M104" i="22"/>
  <c r="M103" i="22"/>
  <c r="M102" i="22"/>
  <c r="M101" i="22"/>
  <c r="M100" i="22"/>
  <c r="M99" i="22"/>
  <c r="M98" i="22"/>
  <c r="M97" i="22"/>
  <c r="M96" i="22"/>
  <c r="M95" i="22"/>
  <c r="M94" i="22"/>
  <c r="M93" i="22"/>
  <c r="M92" i="22"/>
  <c r="M91" i="22"/>
  <c r="L91" i="22"/>
  <c r="K91" i="22"/>
  <c r="M90" i="22"/>
  <c r="M89" i="22"/>
  <c r="M88" i="22"/>
  <c r="L88" i="22"/>
  <c r="K88" i="22"/>
  <c r="M87" i="22"/>
  <c r="M86" i="22"/>
  <c r="M85" i="22"/>
  <c r="L85" i="22"/>
  <c r="K85" i="22"/>
  <c r="M84" i="22"/>
  <c r="M83" i="22"/>
  <c r="M82" i="22"/>
  <c r="L82" i="22"/>
  <c r="K82" i="22"/>
  <c r="M81" i="22"/>
  <c r="M80" i="22"/>
  <c r="M75" i="22"/>
  <c r="M74" i="22"/>
  <c r="M73" i="22"/>
  <c r="L73" i="22"/>
  <c r="A70" i="22"/>
  <c r="M66" i="22"/>
  <c r="L66" i="22"/>
  <c r="K66" i="22"/>
  <c r="J66" i="22"/>
  <c r="I66" i="22"/>
  <c r="M65" i="22"/>
  <c r="M64" i="22"/>
  <c r="M63" i="22"/>
  <c r="L63" i="22"/>
  <c r="K63" i="22"/>
  <c r="J63" i="22"/>
  <c r="I63" i="22"/>
  <c r="M62" i="22"/>
  <c r="M61" i="22"/>
  <c r="M60" i="22"/>
  <c r="L60" i="22"/>
  <c r="K60" i="22"/>
  <c r="J60" i="22"/>
  <c r="I60" i="22"/>
  <c r="M59" i="22"/>
  <c r="M58" i="22"/>
  <c r="M57" i="22"/>
  <c r="L57" i="22"/>
  <c r="K57" i="22"/>
  <c r="J57" i="22"/>
  <c r="I57" i="22"/>
  <c r="M56" i="22"/>
  <c r="M55" i="22"/>
  <c r="M54" i="22"/>
  <c r="L54" i="22"/>
  <c r="K54" i="22"/>
  <c r="J54" i="22"/>
  <c r="I54" i="22"/>
  <c r="M53" i="22"/>
  <c r="M52" i="22"/>
  <c r="M51" i="22"/>
  <c r="L51" i="22"/>
  <c r="K51" i="22"/>
  <c r="J51" i="22"/>
  <c r="I51" i="22"/>
  <c r="M50" i="22"/>
  <c r="M49" i="22"/>
  <c r="L44" i="22"/>
  <c r="K44" i="22"/>
  <c r="L43" i="22"/>
  <c r="K43" i="22"/>
  <c r="L40" i="22"/>
  <c r="K40" i="22"/>
  <c r="L39" i="22"/>
  <c r="K39" i="22"/>
  <c r="A36" i="22"/>
  <c r="A76" i="20"/>
  <c r="A71" i="20"/>
  <c r="A67" i="20"/>
  <c r="K66" i="20"/>
  <c r="J66" i="20"/>
  <c r="I66" i="20"/>
  <c r="K65" i="20"/>
  <c r="K64" i="20"/>
  <c r="K63" i="20"/>
  <c r="I63" i="20"/>
  <c r="K62" i="20"/>
  <c r="I62" i="20"/>
  <c r="K61" i="20"/>
  <c r="J61" i="20"/>
  <c r="I61" i="20"/>
  <c r="K60" i="20"/>
  <c r="I60" i="20"/>
  <c r="K59" i="20"/>
  <c r="J59" i="20"/>
  <c r="I59" i="20"/>
  <c r="K58" i="20"/>
  <c r="J58" i="20"/>
  <c r="I58" i="20"/>
  <c r="K57" i="20"/>
  <c r="I57" i="20"/>
  <c r="K56" i="20"/>
  <c r="K55" i="20"/>
  <c r="J50" i="20"/>
  <c r="I50" i="20"/>
  <c r="A47" i="20"/>
  <c r="K44" i="20"/>
  <c r="J44" i="20"/>
  <c r="I44" i="20"/>
  <c r="K43" i="20"/>
  <c r="K42" i="20"/>
  <c r="K41" i="20"/>
  <c r="I41" i="20"/>
  <c r="K40" i="20"/>
  <c r="I40" i="20"/>
  <c r="K39" i="20"/>
  <c r="J39" i="20"/>
  <c r="I39" i="20"/>
  <c r="K38" i="20"/>
  <c r="I38" i="20"/>
  <c r="K37" i="20"/>
  <c r="J37" i="20"/>
  <c r="I37" i="20"/>
  <c r="K36" i="20"/>
  <c r="J36" i="20"/>
  <c r="I36" i="20"/>
  <c r="K35" i="20"/>
  <c r="I35" i="20"/>
  <c r="K34" i="20"/>
  <c r="K33" i="20"/>
  <c r="I33" i="20"/>
  <c r="K32" i="20"/>
  <c r="I32" i="20"/>
  <c r="K31" i="20"/>
  <c r="I31" i="20"/>
  <c r="L26" i="20"/>
  <c r="K26" i="20"/>
  <c r="A23" i="20"/>
  <c r="A112" i="28"/>
  <c r="A110" i="28"/>
  <c r="A108" i="28"/>
  <c r="A106" i="28"/>
  <c r="A104" i="28"/>
  <c r="A102" i="28"/>
  <c r="A100" i="28"/>
  <c r="A98" i="28"/>
  <c r="A96" i="28"/>
  <c r="A94" i="28"/>
  <c r="A92" i="28"/>
  <c r="A90" i="28"/>
  <c r="K87" i="28"/>
  <c r="K86" i="28"/>
  <c r="I86" i="28"/>
  <c r="K85" i="28"/>
  <c r="F85" i="28"/>
  <c r="K84" i="28"/>
  <c r="F84" i="28"/>
  <c r="K83" i="28"/>
  <c r="F83" i="28"/>
  <c r="K82" i="28"/>
  <c r="F82" i="28"/>
  <c r="K81" i="28"/>
  <c r="J81" i="28"/>
  <c r="I81" i="28"/>
  <c r="K80" i="28"/>
  <c r="I80" i="28"/>
  <c r="K79" i="28"/>
  <c r="I79" i="28"/>
  <c r="K78" i="28"/>
  <c r="I78" i="28"/>
  <c r="K77" i="28"/>
  <c r="I77" i="28"/>
  <c r="K76" i="28"/>
  <c r="J76" i="28"/>
  <c r="I76" i="28"/>
  <c r="K75" i="28"/>
  <c r="I75" i="28"/>
  <c r="K74" i="28"/>
  <c r="J74" i="28"/>
  <c r="I74" i="28"/>
  <c r="K73" i="28"/>
  <c r="J73" i="28"/>
  <c r="I73" i="28"/>
  <c r="K72" i="28"/>
  <c r="I72" i="28"/>
  <c r="K71" i="28"/>
  <c r="K70" i="28"/>
  <c r="L65" i="28"/>
  <c r="K65" i="28"/>
  <c r="J65" i="28"/>
  <c r="I65" i="28"/>
  <c r="A62" i="28"/>
  <c r="K60" i="28"/>
  <c r="K59" i="28"/>
  <c r="J59" i="28"/>
  <c r="K58" i="28"/>
  <c r="K57" i="28"/>
  <c r="K56" i="28"/>
  <c r="K55" i="28"/>
  <c r="K54" i="28"/>
  <c r="J54" i="28"/>
  <c r="I54" i="28"/>
  <c r="K53" i="28"/>
  <c r="I53" i="28"/>
  <c r="K52" i="28"/>
  <c r="I52" i="28"/>
  <c r="K51" i="28"/>
  <c r="I51" i="28"/>
  <c r="K50" i="28"/>
  <c r="I50" i="28"/>
  <c r="K49" i="28"/>
  <c r="J49" i="28"/>
  <c r="I49" i="28"/>
  <c r="K48" i="28"/>
  <c r="I48" i="28"/>
  <c r="K47" i="28"/>
  <c r="J47" i="28"/>
  <c r="I47" i="28"/>
  <c r="K46" i="28"/>
  <c r="J46" i="28"/>
  <c r="I46" i="28"/>
  <c r="K45" i="28"/>
  <c r="I45" i="28"/>
  <c r="K44" i="28"/>
  <c r="K43" i="28"/>
  <c r="I43" i="28"/>
  <c r="K42" i="28"/>
  <c r="I42" i="28"/>
  <c r="K41" i="28"/>
  <c r="I41" i="28"/>
  <c r="N36" i="28"/>
  <c r="M36" i="28"/>
  <c r="L36" i="28"/>
  <c r="K36" i="28"/>
  <c r="A33" i="28"/>
  <c r="A126" i="19"/>
  <c r="A122" i="19"/>
  <c r="AS119" i="19"/>
  <c r="AR119" i="19"/>
  <c r="AQ119" i="19"/>
  <c r="AP119" i="19"/>
  <c r="AO119" i="19"/>
  <c r="AN119" i="19"/>
  <c r="AM119" i="19"/>
  <c r="AL119" i="19"/>
  <c r="AK119" i="19"/>
  <c r="AJ119" i="19"/>
  <c r="AI119" i="19"/>
  <c r="AH119" i="19"/>
  <c r="AG119" i="19"/>
  <c r="AF119" i="19"/>
  <c r="Z119" i="19"/>
  <c r="Y119" i="19"/>
  <c r="X119" i="19"/>
  <c r="W119" i="19"/>
  <c r="V119" i="19"/>
  <c r="U119" i="19"/>
  <c r="T119" i="19"/>
  <c r="S119" i="19"/>
  <c r="R119" i="19"/>
  <c r="Q119" i="19"/>
  <c r="P119" i="19"/>
  <c r="O119" i="19"/>
  <c r="N119" i="19"/>
  <c r="M119" i="19"/>
  <c r="L119" i="19"/>
  <c r="K119" i="19"/>
  <c r="J119" i="19"/>
  <c r="I119" i="19"/>
  <c r="H119" i="19"/>
  <c r="AS118" i="19"/>
  <c r="AR118" i="19"/>
  <c r="Z118" i="19"/>
  <c r="Y118" i="19"/>
  <c r="L118" i="19"/>
  <c r="K118" i="19"/>
  <c r="AS117" i="19"/>
  <c r="AR117" i="19"/>
  <c r="Z117" i="19"/>
  <c r="Y117" i="19"/>
  <c r="L117" i="19"/>
  <c r="K117" i="19"/>
  <c r="K109" i="19"/>
  <c r="J109" i="19"/>
  <c r="A106" i="19"/>
  <c r="AS102" i="19"/>
  <c r="AR102" i="19"/>
  <c r="AQ102" i="19"/>
  <c r="AP102" i="19"/>
  <c r="AO102" i="19"/>
  <c r="AN102" i="19"/>
  <c r="AM102" i="19"/>
  <c r="AL102" i="19"/>
  <c r="AK102" i="19"/>
  <c r="AJ102" i="19"/>
  <c r="AI102" i="19"/>
  <c r="AH102" i="19"/>
  <c r="AG102" i="19"/>
  <c r="AF102" i="19"/>
  <c r="Z102" i="19"/>
  <c r="Y102" i="19"/>
  <c r="X102" i="19"/>
  <c r="W102" i="19"/>
  <c r="V102" i="19"/>
  <c r="U102" i="19"/>
  <c r="T102" i="19"/>
  <c r="S102" i="19"/>
  <c r="R102" i="19"/>
  <c r="Q102" i="19"/>
  <c r="P102" i="19"/>
  <c r="O102" i="19"/>
  <c r="N102" i="19"/>
  <c r="M102" i="19"/>
  <c r="L102" i="19"/>
  <c r="K102" i="19"/>
  <c r="J102" i="19"/>
  <c r="I102" i="19"/>
  <c r="H102" i="19"/>
  <c r="AS101" i="19"/>
  <c r="AR101" i="19"/>
  <c r="Z101" i="19"/>
  <c r="Y101" i="19"/>
  <c r="L101" i="19"/>
  <c r="K101" i="19"/>
  <c r="AS100" i="19"/>
  <c r="AR100" i="19"/>
  <c r="Z100" i="19"/>
  <c r="Y100" i="19"/>
  <c r="L100" i="19"/>
  <c r="K100" i="19"/>
  <c r="AS99" i="19"/>
  <c r="AR99" i="19"/>
  <c r="Z99" i="19"/>
  <c r="Y99" i="19"/>
  <c r="L99" i="19"/>
  <c r="K99" i="19"/>
  <c r="AS98" i="19"/>
  <c r="AR98" i="19"/>
  <c r="Z98" i="19"/>
  <c r="Y98" i="19"/>
  <c r="L98" i="19"/>
  <c r="K98" i="19"/>
  <c r="AS97" i="19"/>
  <c r="AR97" i="19"/>
  <c r="Z97" i="19"/>
  <c r="Y97" i="19"/>
  <c r="L97" i="19"/>
  <c r="K97" i="19"/>
  <c r="J89" i="19"/>
  <c r="I89" i="19"/>
  <c r="A86" i="19"/>
  <c r="AS83" i="19"/>
  <c r="AR83" i="19"/>
  <c r="AQ83" i="19"/>
  <c r="AP83" i="19"/>
  <c r="AO83" i="19"/>
  <c r="AN83" i="19"/>
  <c r="AM83" i="19"/>
  <c r="AL83" i="19"/>
  <c r="AK83" i="19"/>
  <c r="AJ83" i="19"/>
  <c r="AI83" i="19"/>
  <c r="AH83" i="19"/>
  <c r="AG83" i="19"/>
  <c r="AF83" i="19"/>
  <c r="AA83" i="19"/>
  <c r="Z83" i="19"/>
  <c r="Y83" i="19"/>
  <c r="X83" i="19"/>
  <c r="W83" i="19"/>
  <c r="V83" i="19"/>
  <c r="U83" i="19"/>
  <c r="T83" i="19"/>
  <c r="S83" i="19"/>
  <c r="R83" i="19"/>
  <c r="Q83" i="19"/>
  <c r="P83" i="19"/>
  <c r="O83" i="19"/>
  <c r="N83" i="19"/>
  <c r="M83" i="19"/>
  <c r="L83" i="19"/>
  <c r="AS82" i="19"/>
  <c r="AR82" i="19"/>
  <c r="AQ82" i="19"/>
  <c r="AP82" i="19"/>
  <c r="AO82" i="19"/>
  <c r="AN82" i="19"/>
  <c r="AM82" i="19"/>
  <c r="AL82" i="19"/>
  <c r="AK82" i="19"/>
  <c r="AJ82" i="19"/>
  <c r="AI82" i="19"/>
  <c r="AH82" i="19"/>
  <c r="AG82" i="19"/>
  <c r="AF82" i="19"/>
  <c r="AA82" i="19"/>
  <c r="Z82" i="19"/>
  <c r="Y82" i="19"/>
  <c r="X82" i="19"/>
  <c r="W82" i="19"/>
  <c r="V82" i="19"/>
  <c r="U82" i="19"/>
  <c r="T82" i="19"/>
  <c r="S82" i="19"/>
  <c r="R82" i="19"/>
  <c r="Q82" i="19"/>
  <c r="P82" i="19"/>
  <c r="O82" i="19"/>
  <c r="N82" i="19"/>
  <c r="M82" i="19"/>
  <c r="L82" i="19"/>
  <c r="AS81" i="19"/>
  <c r="AR81" i="19"/>
  <c r="AQ81" i="19"/>
  <c r="AP81" i="19"/>
  <c r="AO81" i="19"/>
  <c r="AN81" i="19"/>
  <c r="AM81" i="19"/>
  <c r="AL81" i="19"/>
  <c r="AK81" i="19"/>
  <c r="AJ81" i="19"/>
  <c r="AI81" i="19"/>
  <c r="AH81" i="19"/>
  <c r="AG81" i="19"/>
  <c r="AF81" i="19"/>
  <c r="AA81" i="19"/>
  <c r="Z81" i="19"/>
  <c r="Y81" i="19"/>
  <c r="X81" i="19"/>
  <c r="W81" i="19"/>
  <c r="V81" i="19"/>
  <c r="U81" i="19"/>
  <c r="T81" i="19"/>
  <c r="S81" i="19"/>
  <c r="R81" i="19"/>
  <c r="Q81" i="19"/>
  <c r="P81" i="19"/>
  <c r="O81" i="19"/>
  <c r="N81" i="19"/>
  <c r="M81" i="19"/>
  <c r="L81" i="19"/>
  <c r="AS80" i="19"/>
  <c r="AR80" i="19"/>
  <c r="AQ80" i="19"/>
  <c r="AP80" i="19"/>
  <c r="AO80" i="19"/>
  <c r="AN80" i="19"/>
  <c r="AM80" i="19"/>
  <c r="AL80" i="19"/>
  <c r="AK80" i="19"/>
  <c r="AJ80" i="19"/>
  <c r="AI80" i="19"/>
  <c r="AH80" i="19"/>
  <c r="AG80" i="19"/>
  <c r="AF80" i="19"/>
  <c r="AA80" i="19"/>
  <c r="Z80" i="19"/>
  <c r="Y80" i="19"/>
  <c r="X80" i="19"/>
  <c r="W80" i="19"/>
  <c r="V80" i="19"/>
  <c r="U80" i="19"/>
  <c r="T80" i="19"/>
  <c r="S80" i="19"/>
  <c r="R80" i="19"/>
  <c r="Q80" i="19"/>
  <c r="P80" i="19"/>
  <c r="O80" i="19"/>
  <c r="N80" i="19"/>
  <c r="M80" i="19"/>
  <c r="L80" i="19"/>
  <c r="AS79" i="19"/>
  <c r="AR79" i="19"/>
  <c r="AA79" i="19"/>
  <c r="Z79" i="19"/>
  <c r="M79" i="19"/>
  <c r="L79" i="19"/>
  <c r="AS78" i="19"/>
  <c r="AR78" i="19"/>
  <c r="AA78" i="19"/>
  <c r="Z78" i="19"/>
  <c r="M78" i="19"/>
  <c r="L78" i="19"/>
  <c r="AS77" i="19"/>
  <c r="AR77" i="19"/>
  <c r="AQ77" i="19"/>
  <c r="AP77" i="19"/>
  <c r="AO77" i="19"/>
  <c r="AN77" i="19"/>
  <c r="AM77" i="19"/>
  <c r="AL77" i="19"/>
  <c r="AK77" i="19"/>
  <c r="AJ77" i="19"/>
  <c r="AI77" i="19"/>
  <c r="AH77" i="19"/>
  <c r="AG77" i="19"/>
  <c r="AF77" i="19"/>
  <c r="AA77" i="19"/>
  <c r="Z77" i="19"/>
  <c r="Y77" i="19"/>
  <c r="X77" i="19"/>
  <c r="W77" i="19"/>
  <c r="V77" i="19"/>
  <c r="U77" i="19"/>
  <c r="T77" i="19"/>
  <c r="S77" i="19"/>
  <c r="R77" i="19"/>
  <c r="Q77" i="19"/>
  <c r="P77" i="19"/>
  <c r="O77" i="19"/>
  <c r="N77" i="19"/>
  <c r="M77" i="19"/>
  <c r="L77" i="19"/>
  <c r="AS76" i="19"/>
  <c r="AR76" i="19"/>
  <c r="AA76" i="19"/>
  <c r="Z76" i="19"/>
  <c r="M76" i="19"/>
  <c r="L76" i="19"/>
  <c r="AS75" i="19"/>
  <c r="AR75" i="19"/>
  <c r="AA75" i="19"/>
  <c r="Z75" i="19"/>
  <c r="M75" i="19"/>
  <c r="L75" i="19"/>
  <c r="AS74" i="19"/>
  <c r="AR74" i="19"/>
  <c r="AQ74" i="19"/>
  <c r="AP74" i="19"/>
  <c r="AO74" i="19"/>
  <c r="AN74" i="19"/>
  <c r="AM74" i="19"/>
  <c r="AL74" i="19"/>
  <c r="AK74" i="19"/>
  <c r="AJ74" i="19"/>
  <c r="AI74" i="19"/>
  <c r="AH74" i="19"/>
  <c r="AG74" i="19"/>
  <c r="AF74" i="19"/>
  <c r="AA74" i="19"/>
  <c r="Z74" i="19"/>
  <c r="Y74" i="19"/>
  <c r="X74" i="19"/>
  <c r="W74" i="19"/>
  <c r="V74" i="19"/>
  <c r="U74" i="19"/>
  <c r="T74" i="19"/>
  <c r="S74" i="19"/>
  <c r="R74" i="19"/>
  <c r="Q74" i="19"/>
  <c r="P74" i="19"/>
  <c r="O74" i="19"/>
  <c r="N74" i="19"/>
  <c r="M74" i="19"/>
  <c r="L74" i="19"/>
  <c r="AS73" i="19"/>
  <c r="AR73" i="19"/>
  <c r="AA73" i="19"/>
  <c r="Z73" i="19"/>
  <c r="M73" i="19"/>
  <c r="L73" i="19"/>
  <c r="AS72" i="19"/>
  <c r="AR72" i="19"/>
  <c r="AA72" i="19"/>
  <c r="Z72" i="19"/>
  <c r="M72" i="19"/>
  <c r="L72" i="19"/>
  <c r="AS71" i="19"/>
  <c r="AR71" i="19"/>
  <c r="AQ71" i="19"/>
  <c r="AP71" i="19"/>
  <c r="AO71" i="19"/>
  <c r="AN71" i="19"/>
  <c r="AM71" i="19"/>
  <c r="AL71" i="19"/>
  <c r="AK71" i="19"/>
  <c r="AJ71" i="19"/>
  <c r="AI71" i="19"/>
  <c r="AH71" i="19"/>
  <c r="AG71" i="19"/>
  <c r="AF71" i="19"/>
  <c r="AA71" i="19"/>
  <c r="Z71" i="19"/>
  <c r="Y71" i="19"/>
  <c r="X71" i="19"/>
  <c r="W71" i="19"/>
  <c r="V71" i="19"/>
  <c r="U71" i="19"/>
  <c r="T71" i="19"/>
  <c r="S71" i="19"/>
  <c r="R71" i="19"/>
  <c r="Q71" i="19"/>
  <c r="P71" i="19"/>
  <c r="O71" i="19"/>
  <c r="N71" i="19"/>
  <c r="M71" i="19"/>
  <c r="L71" i="19"/>
  <c r="AS70" i="19"/>
  <c r="AR70" i="19"/>
  <c r="AA70" i="19"/>
  <c r="Z70" i="19"/>
  <c r="M70" i="19"/>
  <c r="L70" i="19"/>
  <c r="AS69" i="19"/>
  <c r="AR69" i="19"/>
  <c r="AA69" i="19"/>
  <c r="Z69" i="19"/>
  <c r="M69" i="19"/>
  <c r="L69" i="19"/>
  <c r="AS68" i="19"/>
  <c r="AR68" i="19"/>
  <c r="AQ68" i="19"/>
  <c r="AP68" i="19"/>
  <c r="AO68" i="19"/>
  <c r="AN68" i="19"/>
  <c r="AM68" i="19"/>
  <c r="AL68" i="19"/>
  <c r="AK68" i="19"/>
  <c r="AJ68" i="19"/>
  <c r="AI68" i="19"/>
  <c r="AH68" i="19"/>
  <c r="AG68" i="19"/>
  <c r="AF68" i="19"/>
  <c r="AA68" i="19"/>
  <c r="Z68" i="19"/>
  <c r="Y68" i="19"/>
  <c r="X68" i="19"/>
  <c r="W68" i="19"/>
  <c r="V68" i="19"/>
  <c r="U68" i="19"/>
  <c r="T68" i="19"/>
  <c r="S68" i="19"/>
  <c r="R68" i="19"/>
  <c r="Q68" i="19"/>
  <c r="P68" i="19"/>
  <c r="O68" i="19"/>
  <c r="N68" i="19"/>
  <c r="M68" i="19"/>
  <c r="L68" i="19"/>
  <c r="AS67" i="19"/>
  <c r="AR67" i="19"/>
  <c r="AA67" i="19"/>
  <c r="Z67" i="19"/>
  <c r="M67" i="19"/>
  <c r="L67" i="19"/>
  <c r="AS66" i="19"/>
  <c r="AR66" i="19"/>
  <c r="AA66" i="19"/>
  <c r="Z66" i="19"/>
  <c r="M66" i="19"/>
  <c r="L66" i="19"/>
  <c r="AS65" i="19"/>
  <c r="AR65" i="19"/>
  <c r="AQ65" i="19"/>
  <c r="AP65" i="19"/>
  <c r="AO65" i="19"/>
  <c r="AN65" i="19"/>
  <c r="AM65" i="19"/>
  <c r="AL65" i="19"/>
  <c r="AK65" i="19"/>
  <c r="AJ65" i="19"/>
  <c r="AI65" i="19"/>
  <c r="AH65" i="19"/>
  <c r="AG65" i="19"/>
  <c r="AF65" i="19"/>
  <c r="AA65" i="19"/>
  <c r="Z65" i="19"/>
  <c r="Y65" i="19"/>
  <c r="X65" i="19"/>
  <c r="W65" i="19"/>
  <c r="V65" i="19"/>
  <c r="U65" i="19"/>
  <c r="T65" i="19"/>
  <c r="S65" i="19"/>
  <c r="R65" i="19"/>
  <c r="Q65" i="19"/>
  <c r="P65" i="19"/>
  <c r="O65" i="19"/>
  <c r="N65" i="19"/>
  <c r="M65" i="19"/>
  <c r="L65" i="19"/>
  <c r="AS64" i="19"/>
  <c r="AR64" i="19"/>
  <c r="AA64" i="19"/>
  <c r="Z64" i="19"/>
  <c r="M64" i="19"/>
  <c r="L64" i="19"/>
  <c r="AS63" i="19"/>
  <c r="AR63" i="19"/>
  <c r="AA63" i="19"/>
  <c r="Z63" i="19"/>
  <c r="M63" i="19"/>
  <c r="L63" i="19"/>
  <c r="AS62" i="19"/>
  <c r="AR62" i="19"/>
  <c r="AQ62" i="19"/>
  <c r="AP62" i="19"/>
  <c r="AO62" i="19"/>
  <c r="AN62" i="19"/>
  <c r="AM62" i="19"/>
  <c r="AL62" i="19"/>
  <c r="AK62" i="19"/>
  <c r="AJ62" i="19"/>
  <c r="AI62" i="19"/>
  <c r="AH62" i="19"/>
  <c r="AG62" i="19"/>
  <c r="AF62" i="19"/>
  <c r="AA62" i="19"/>
  <c r="Z62" i="19"/>
  <c r="Y62" i="19"/>
  <c r="X62" i="19"/>
  <c r="W62" i="19"/>
  <c r="V62" i="19"/>
  <c r="U62" i="19"/>
  <c r="T62" i="19"/>
  <c r="S62" i="19"/>
  <c r="R62" i="19"/>
  <c r="Q62" i="19"/>
  <c r="P62" i="19"/>
  <c r="O62" i="19"/>
  <c r="N62" i="19"/>
  <c r="M62" i="19"/>
  <c r="L62" i="19"/>
  <c r="AS61" i="19"/>
  <c r="AR61" i="19"/>
  <c r="AA61" i="19"/>
  <c r="Z61" i="19"/>
  <c r="M61" i="19"/>
  <c r="L61" i="19"/>
  <c r="AS60" i="19"/>
  <c r="AR60" i="19"/>
  <c r="AA60" i="19"/>
  <c r="Z60" i="19"/>
  <c r="M60" i="19"/>
  <c r="L60" i="19"/>
  <c r="J52" i="19"/>
  <c r="I52" i="19"/>
  <c r="A49" i="19"/>
  <c r="K45" i="19"/>
  <c r="J45" i="19"/>
  <c r="I45" i="19"/>
  <c r="K44" i="19"/>
  <c r="K43" i="19"/>
  <c r="K42" i="19"/>
  <c r="J42" i="19"/>
  <c r="I42" i="19"/>
  <c r="K41" i="19"/>
  <c r="K40" i="19"/>
  <c r="K39" i="19"/>
  <c r="K38" i="19"/>
  <c r="K37" i="19"/>
  <c r="K36" i="19"/>
  <c r="K35" i="19"/>
  <c r="M30" i="19"/>
  <c r="A27" i="19"/>
  <c r="A138" i="25"/>
  <c r="A136" i="25"/>
  <c r="A134" i="25"/>
  <c r="A132" i="25"/>
  <c r="A130" i="25"/>
  <c r="A128" i="25"/>
  <c r="BL125" i="25"/>
  <c r="BK125" i="25"/>
  <c r="BJ125" i="25"/>
  <c r="BI125" i="25"/>
  <c r="BH125" i="25"/>
  <c r="BG125" i="25"/>
  <c r="BF125" i="25"/>
  <c r="BE125" i="25"/>
  <c r="BD125" i="25"/>
  <c r="BC125" i="25"/>
  <c r="BB125" i="25"/>
  <c r="BA125" i="25"/>
  <c r="AZ125" i="25"/>
  <c r="AY125" i="25"/>
  <c r="AS125" i="25"/>
  <c r="AR125" i="25"/>
  <c r="AQ125" i="25"/>
  <c r="AP125" i="25"/>
  <c r="AO125" i="25"/>
  <c r="AN125" i="25"/>
  <c r="AM125" i="25"/>
  <c r="AL125" i="25"/>
  <c r="AK125" i="25"/>
  <c r="AJ125" i="25"/>
  <c r="AI125" i="25"/>
  <c r="AH125" i="25"/>
  <c r="AG125" i="25"/>
  <c r="AF125" i="25"/>
  <c r="Z125" i="25"/>
  <c r="Y125" i="25"/>
  <c r="X125" i="25"/>
  <c r="W125" i="25"/>
  <c r="V125" i="25"/>
  <c r="U125" i="25"/>
  <c r="T125" i="25"/>
  <c r="S125" i="25"/>
  <c r="R125" i="25"/>
  <c r="Q125" i="25"/>
  <c r="P125" i="25"/>
  <c r="O125" i="25"/>
  <c r="N125" i="25"/>
  <c r="M125" i="25"/>
  <c r="L125" i="25"/>
  <c r="K125" i="25"/>
  <c r="J125" i="25"/>
  <c r="I125" i="25"/>
  <c r="H125" i="25"/>
  <c r="BL124" i="25"/>
  <c r="BK124" i="25"/>
  <c r="AS124" i="25"/>
  <c r="AR124" i="25"/>
  <c r="Z124" i="25"/>
  <c r="Y124" i="25"/>
  <c r="L124" i="25"/>
  <c r="K124" i="25"/>
  <c r="BL123" i="25"/>
  <c r="BK123" i="25"/>
  <c r="AS123" i="25"/>
  <c r="AR123" i="25"/>
  <c r="Z123" i="25"/>
  <c r="Y123" i="25"/>
  <c r="L123" i="25"/>
  <c r="K123" i="25"/>
  <c r="L115" i="25"/>
  <c r="K115" i="25"/>
  <c r="J115" i="25"/>
  <c r="A112" i="25"/>
  <c r="BL108" i="25"/>
  <c r="BK108" i="25"/>
  <c r="BJ108" i="25"/>
  <c r="BI108" i="25"/>
  <c r="BH108" i="25"/>
  <c r="BG108" i="25"/>
  <c r="BF108" i="25"/>
  <c r="BE108" i="25"/>
  <c r="BD108" i="25"/>
  <c r="BC108" i="25"/>
  <c r="BB108" i="25"/>
  <c r="BA108" i="25"/>
  <c r="AZ108" i="25"/>
  <c r="AY108" i="25"/>
  <c r="AS108" i="25"/>
  <c r="AR108" i="25"/>
  <c r="AQ108" i="25"/>
  <c r="AP108" i="25"/>
  <c r="AO108" i="25"/>
  <c r="AN108" i="25"/>
  <c r="AM108" i="25"/>
  <c r="AL108" i="25"/>
  <c r="AK108" i="25"/>
  <c r="AJ108" i="25"/>
  <c r="AI108" i="25"/>
  <c r="AH108" i="25"/>
  <c r="AG108" i="25"/>
  <c r="AF108" i="25"/>
  <c r="Z108" i="25"/>
  <c r="Y108" i="25"/>
  <c r="X108" i="25"/>
  <c r="W108" i="25"/>
  <c r="V108" i="25"/>
  <c r="U108" i="25"/>
  <c r="T108" i="25"/>
  <c r="S108" i="25"/>
  <c r="R108" i="25"/>
  <c r="Q108" i="25"/>
  <c r="P108" i="25"/>
  <c r="O108" i="25"/>
  <c r="N108" i="25"/>
  <c r="M108" i="25"/>
  <c r="L108" i="25"/>
  <c r="K108" i="25"/>
  <c r="J108" i="25"/>
  <c r="I108" i="25"/>
  <c r="H108" i="25"/>
  <c r="BL107" i="25"/>
  <c r="BK107" i="25"/>
  <c r="AS107" i="25"/>
  <c r="AR107" i="25"/>
  <c r="Z107" i="25"/>
  <c r="Y107" i="25"/>
  <c r="L107" i="25"/>
  <c r="K107" i="25"/>
  <c r="BL106" i="25"/>
  <c r="BK106" i="25"/>
  <c r="AS106" i="25"/>
  <c r="AR106" i="25"/>
  <c r="Z106" i="25"/>
  <c r="Y106" i="25"/>
  <c r="L106" i="25"/>
  <c r="K106" i="25"/>
  <c r="BL105" i="25"/>
  <c r="BK105" i="25"/>
  <c r="AS105" i="25"/>
  <c r="AR105" i="25"/>
  <c r="Z105" i="25"/>
  <c r="Y105" i="25"/>
  <c r="L105" i="25"/>
  <c r="K105" i="25"/>
  <c r="BL104" i="25"/>
  <c r="BK104" i="25"/>
  <c r="AS104" i="25"/>
  <c r="AR104" i="25"/>
  <c r="Z104" i="25"/>
  <c r="Y104" i="25"/>
  <c r="L104" i="25"/>
  <c r="K104" i="25"/>
  <c r="BL103" i="25"/>
  <c r="BK103" i="25"/>
  <c r="AS103" i="25"/>
  <c r="AR103" i="25"/>
  <c r="Z103" i="25"/>
  <c r="Y103" i="25"/>
  <c r="L103" i="25"/>
  <c r="K103" i="25"/>
  <c r="K95" i="25"/>
  <c r="J95" i="25"/>
  <c r="I95" i="25"/>
  <c r="A92" i="25"/>
  <c r="BK89" i="25"/>
  <c r="BJ89" i="25"/>
  <c r="BI89" i="25"/>
  <c r="BH89" i="25"/>
  <c r="BG89" i="25"/>
  <c r="BF89" i="25"/>
  <c r="BE89" i="25"/>
  <c r="BD89" i="25"/>
  <c r="BC89" i="25"/>
  <c r="BB89" i="25"/>
  <c r="BA89" i="25"/>
  <c r="AZ89" i="25"/>
  <c r="AY89" i="25"/>
  <c r="AX89" i="25"/>
  <c r="AS89" i="25"/>
  <c r="AR89" i="25"/>
  <c r="AQ89" i="25"/>
  <c r="AP89" i="25"/>
  <c r="AO89" i="25"/>
  <c r="AN89" i="25"/>
  <c r="AM89" i="25"/>
  <c r="AL89" i="25"/>
  <c r="AK89" i="25"/>
  <c r="AJ89" i="25"/>
  <c r="AI89" i="25"/>
  <c r="AH89" i="25"/>
  <c r="AG89" i="25"/>
  <c r="AF89" i="25"/>
  <c r="AA89" i="25"/>
  <c r="Z89" i="25"/>
  <c r="Y89" i="25"/>
  <c r="X89" i="25"/>
  <c r="W89" i="25"/>
  <c r="V89" i="25"/>
  <c r="U89" i="25"/>
  <c r="T89" i="25"/>
  <c r="S89" i="25"/>
  <c r="R89" i="25"/>
  <c r="Q89" i="25"/>
  <c r="P89" i="25"/>
  <c r="O89" i="25"/>
  <c r="N89" i="25"/>
  <c r="M89" i="25"/>
  <c r="L89" i="25"/>
  <c r="BK88" i="25"/>
  <c r="BJ88" i="25"/>
  <c r="BI88" i="25"/>
  <c r="BH88" i="25"/>
  <c r="BG88" i="25"/>
  <c r="BF88" i="25"/>
  <c r="BE88" i="25"/>
  <c r="BD88" i="25"/>
  <c r="BC88" i="25"/>
  <c r="BB88" i="25"/>
  <c r="BA88" i="25"/>
  <c r="AZ88" i="25"/>
  <c r="AY88" i="25"/>
  <c r="AX88" i="25"/>
  <c r="AS88" i="25"/>
  <c r="AR88" i="25"/>
  <c r="AQ88" i="25"/>
  <c r="AP88" i="25"/>
  <c r="AO88" i="25"/>
  <c r="AN88" i="25"/>
  <c r="AM88" i="25"/>
  <c r="AL88" i="25"/>
  <c r="AK88" i="25"/>
  <c r="AJ88" i="25"/>
  <c r="AI88" i="25"/>
  <c r="AH88" i="25"/>
  <c r="AG88" i="25"/>
  <c r="AF88" i="25"/>
  <c r="AA88" i="25"/>
  <c r="Z88" i="25"/>
  <c r="Y88" i="25"/>
  <c r="X88" i="25"/>
  <c r="W88" i="25"/>
  <c r="V88" i="25"/>
  <c r="U88" i="25"/>
  <c r="T88" i="25"/>
  <c r="S88" i="25"/>
  <c r="R88" i="25"/>
  <c r="Q88" i="25"/>
  <c r="P88" i="25"/>
  <c r="O88" i="25"/>
  <c r="N88" i="25"/>
  <c r="M88" i="25"/>
  <c r="L88" i="25"/>
  <c r="BK87" i="25"/>
  <c r="BJ87" i="25"/>
  <c r="BI87" i="25"/>
  <c r="BH87" i="25"/>
  <c r="BG87" i="25"/>
  <c r="BF87" i="25"/>
  <c r="BE87" i="25"/>
  <c r="BD87" i="25"/>
  <c r="BC87" i="25"/>
  <c r="BB87" i="25"/>
  <c r="BA87" i="25"/>
  <c r="AZ87" i="25"/>
  <c r="AY87" i="25"/>
  <c r="AX87" i="25"/>
  <c r="AS87" i="25"/>
  <c r="AR87" i="25"/>
  <c r="AQ87" i="25"/>
  <c r="AP87" i="25"/>
  <c r="AO87" i="25"/>
  <c r="AN87" i="25"/>
  <c r="AM87" i="25"/>
  <c r="AL87" i="25"/>
  <c r="AK87" i="25"/>
  <c r="AJ87" i="25"/>
  <c r="AI87" i="25"/>
  <c r="AH87" i="25"/>
  <c r="AG87" i="25"/>
  <c r="AF87" i="25"/>
  <c r="AA87" i="25"/>
  <c r="Z87" i="25"/>
  <c r="Y87" i="25"/>
  <c r="X87" i="25"/>
  <c r="W87" i="25"/>
  <c r="V87" i="25"/>
  <c r="U87" i="25"/>
  <c r="T87" i="25"/>
  <c r="S87" i="25"/>
  <c r="R87" i="25"/>
  <c r="Q87" i="25"/>
  <c r="P87" i="25"/>
  <c r="O87" i="25"/>
  <c r="N87" i="25"/>
  <c r="M87" i="25"/>
  <c r="L87" i="25"/>
  <c r="BK86" i="25"/>
  <c r="BJ86" i="25"/>
  <c r="BI86" i="25"/>
  <c r="BH86" i="25"/>
  <c r="BG86" i="25"/>
  <c r="BF86" i="25"/>
  <c r="BE86" i="25"/>
  <c r="BD86" i="25"/>
  <c r="BC86" i="25"/>
  <c r="BB86" i="25"/>
  <c r="BA86" i="25"/>
  <c r="AZ86" i="25"/>
  <c r="AY86" i="25"/>
  <c r="AX86" i="25"/>
  <c r="AS86" i="25"/>
  <c r="AR86" i="25"/>
  <c r="AQ86" i="25"/>
  <c r="AP86" i="25"/>
  <c r="AO86" i="25"/>
  <c r="AN86" i="25"/>
  <c r="AM86" i="25"/>
  <c r="AL86" i="25"/>
  <c r="AK86" i="25"/>
  <c r="AJ86" i="25"/>
  <c r="AI86" i="25"/>
  <c r="AH86" i="25"/>
  <c r="AG86" i="25"/>
  <c r="AF86" i="25"/>
  <c r="AA86" i="25"/>
  <c r="Z86" i="25"/>
  <c r="Y86" i="25"/>
  <c r="X86" i="25"/>
  <c r="W86" i="25"/>
  <c r="V86" i="25"/>
  <c r="U86" i="25"/>
  <c r="T86" i="25"/>
  <c r="S86" i="25"/>
  <c r="R86" i="25"/>
  <c r="Q86" i="25"/>
  <c r="P86" i="25"/>
  <c r="O86" i="25"/>
  <c r="N86" i="25"/>
  <c r="M86" i="25"/>
  <c r="L86" i="25"/>
  <c r="BK85" i="25"/>
  <c r="BJ85" i="25"/>
  <c r="AS85" i="25"/>
  <c r="AR85" i="25"/>
  <c r="AA85" i="25"/>
  <c r="Z85" i="25"/>
  <c r="M85" i="25"/>
  <c r="L85" i="25"/>
  <c r="BK84" i="25"/>
  <c r="BJ84" i="25"/>
  <c r="AS84" i="25"/>
  <c r="AR84" i="25"/>
  <c r="AA84" i="25"/>
  <c r="Z84" i="25"/>
  <c r="M84" i="25"/>
  <c r="L84" i="25"/>
  <c r="BK83" i="25"/>
  <c r="BJ83" i="25"/>
  <c r="BI83" i="25"/>
  <c r="BH83" i="25"/>
  <c r="BG83" i="25"/>
  <c r="BF83" i="25"/>
  <c r="BE83" i="25"/>
  <c r="BD83" i="25"/>
  <c r="BC83" i="25"/>
  <c r="BB83" i="25"/>
  <c r="BA83" i="25"/>
  <c r="AZ83" i="25"/>
  <c r="AY83" i="25"/>
  <c r="AX83" i="25"/>
  <c r="AS83" i="25"/>
  <c r="AR83" i="25"/>
  <c r="AQ83" i="25"/>
  <c r="AP83" i="25"/>
  <c r="AO83" i="25"/>
  <c r="AN83" i="25"/>
  <c r="AM83" i="25"/>
  <c r="AL83" i="25"/>
  <c r="AK83" i="25"/>
  <c r="AJ83" i="25"/>
  <c r="AI83" i="25"/>
  <c r="AH83" i="25"/>
  <c r="AG83" i="25"/>
  <c r="AF83" i="25"/>
  <c r="AA83" i="25"/>
  <c r="Z83" i="25"/>
  <c r="Y83" i="25"/>
  <c r="X83" i="25"/>
  <c r="W83" i="25"/>
  <c r="V83" i="25"/>
  <c r="U83" i="25"/>
  <c r="T83" i="25"/>
  <c r="S83" i="25"/>
  <c r="R83" i="25"/>
  <c r="Q83" i="25"/>
  <c r="P83" i="25"/>
  <c r="O83" i="25"/>
  <c r="N83" i="25"/>
  <c r="M83" i="25"/>
  <c r="L83" i="25"/>
  <c r="BK82" i="25"/>
  <c r="BJ82" i="25"/>
  <c r="AS82" i="25"/>
  <c r="AR82" i="25"/>
  <c r="AA82" i="25"/>
  <c r="Z82" i="25"/>
  <c r="M82" i="25"/>
  <c r="L82" i="25"/>
  <c r="BK81" i="25"/>
  <c r="BJ81" i="25"/>
  <c r="AS81" i="25"/>
  <c r="AR81" i="25"/>
  <c r="AA81" i="25"/>
  <c r="Z81" i="25"/>
  <c r="M81" i="25"/>
  <c r="L81" i="25"/>
  <c r="BK80" i="25"/>
  <c r="BJ80" i="25"/>
  <c r="BI80" i="25"/>
  <c r="BH80" i="25"/>
  <c r="BG80" i="25"/>
  <c r="BF80" i="25"/>
  <c r="BE80" i="25"/>
  <c r="BD80" i="25"/>
  <c r="BC80" i="25"/>
  <c r="BB80" i="25"/>
  <c r="BA80" i="25"/>
  <c r="AZ80" i="25"/>
  <c r="AY80" i="25"/>
  <c r="AX80" i="25"/>
  <c r="AS80" i="25"/>
  <c r="AR80" i="25"/>
  <c r="AQ80" i="25"/>
  <c r="AP80" i="25"/>
  <c r="AO80" i="25"/>
  <c r="AN80" i="25"/>
  <c r="AM80" i="25"/>
  <c r="AL80" i="25"/>
  <c r="AK80" i="25"/>
  <c r="AJ80" i="25"/>
  <c r="AI80" i="25"/>
  <c r="AH80" i="25"/>
  <c r="AG80" i="25"/>
  <c r="AF80" i="25"/>
  <c r="AA80" i="25"/>
  <c r="Z80" i="25"/>
  <c r="Y80" i="25"/>
  <c r="X80" i="25"/>
  <c r="W80" i="25"/>
  <c r="V80" i="25"/>
  <c r="U80" i="25"/>
  <c r="T80" i="25"/>
  <c r="S80" i="25"/>
  <c r="R80" i="25"/>
  <c r="Q80" i="25"/>
  <c r="P80" i="25"/>
  <c r="O80" i="25"/>
  <c r="N80" i="25"/>
  <c r="M80" i="25"/>
  <c r="L80" i="25"/>
  <c r="BK79" i="25"/>
  <c r="BJ79" i="25"/>
  <c r="BE79" i="25"/>
  <c r="BD79" i="25"/>
  <c r="BB79" i="25"/>
  <c r="BA79" i="25"/>
  <c r="AS79" i="25"/>
  <c r="AR79" i="25"/>
  <c r="AA79" i="25"/>
  <c r="Z79" i="25"/>
  <c r="M79" i="25"/>
  <c r="L79" i="25"/>
  <c r="BK78" i="25"/>
  <c r="BJ78" i="25"/>
  <c r="BE78" i="25"/>
  <c r="BD78" i="25"/>
  <c r="BC78" i="25"/>
  <c r="BB78" i="25"/>
  <c r="BA78" i="25"/>
  <c r="AS78" i="25"/>
  <c r="AR78" i="25"/>
  <c r="AA78" i="25"/>
  <c r="Z78" i="25"/>
  <c r="M78" i="25"/>
  <c r="L78" i="25"/>
  <c r="BK77" i="25"/>
  <c r="BJ77" i="25"/>
  <c r="BI77" i="25"/>
  <c r="BH77" i="25"/>
  <c r="BG77" i="25"/>
  <c r="BF77" i="25"/>
  <c r="BE77" i="25"/>
  <c r="BD77" i="25"/>
  <c r="BC77" i="25"/>
  <c r="BB77" i="25"/>
  <c r="BA77" i="25"/>
  <c r="AZ77" i="25"/>
  <c r="AY77" i="25"/>
  <c r="AX77" i="25"/>
  <c r="AS77" i="25"/>
  <c r="AR77" i="25"/>
  <c r="AQ77" i="25"/>
  <c r="AP77" i="25"/>
  <c r="AO77" i="25"/>
  <c r="AN77" i="25"/>
  <c r="AM77" i="25"/>
  <c r="AL77" i="25"/>
  <c r="AK77" i="25"/>
  <c r="AJ77" i="25"/>
  <c r="AI77" i="25"/>
  <c r="AH77" i="25"/>
  <c r="AG77" i="25"/>
  <c r="AF77" i="25"/>
  <c r="AA77" i="25"/>
  <c r="Z77" i="25"/>
  <c r="Y77" i="25"/>
  <c r="X77" i="25"/>
  <c r="W77" i="25"/>
  <c r="V77" i="25"/>
  <c r="U77" i="25"/>
  <c r="T77" i="25"/>
  <c r="S77" i="25"/>
  <c r="R77" i="25"/>
  <c r="Q77" i="25"/>
  <c r="P77" i="25"/>
  <c r="O77" i="25"/>
  <c r="N77" i="25"/>
  <c r="M77" i="25"/>
  <c r="L77" i="25"/>
  <c r="BK76" i="25"/>
  <c r="BJ76" i="25"/>
  <c r="BA76" i="25"/>
  <c r="AS76" i="25"/>
  <c r="AR76" i="25"/>
  <c r="AA76" i="25"/>
  <c r="Z76" i="25"/>
  <c r="M76" i="25"/>
  <c r="L76" i="25"/>
  <c r="BK75" i="25"/>
  <c r="BJ75" i="25"/>
  <c r="BA75" i="25"/>
  <c r="AS75" i="25"/>
  <c r="AR75" i="25"/>
  <c r="AA75" i="25"/>
  <c r="Z75" i="25"/>
  <c r="M75" i="25"/>
  <c r="L75" i="25"/>
  <c r="BK74" i="25"/>
  <c r="BJ74" i="25"/>
  <c r="BI74" i="25"/>
  <c r="BH74" i="25"/>
  <c r="BG74" i="25"/>
  <c r="BF74" i="25"/>
  <c r="BE74" i="25"/>
  <c r="BD74" i="25"/>
  <c r="BC74" i="25"/>
  <c r="BB74" i="25"/>
  <c r="BA74" i="25"/>
  <c r="AZ74" i="25"/>
  <c r="AY74" i="25"/>
  <c r="AX74" i="25"/>
  <c r="AS74" i="25"/>
  <c r="AR74" i="25"/>
  <c r="AQ74" i="25"/>
  <c r="AP74" i="25"/>
  <c r="AO74" i="25"/>
  <c r="AN74" i="25"/>
  <c r="AM74" i="25"/>
  <c r="AL74" i="25"/>
  <c r="AK74" i="25"/>
  <c r="AJ74" i="25"/>
  <c r="AI74" i="25"/>
  <c r="AH74" i="25"/>
  <c r="AG74" i="25"/>
  <c r="AF74" i="25"/>
  <c r="AA74" i="25"/>
  <c r="Z74" i="25"/>
  <c r="Y74" i="25"/>
  <c r="X74" i="25"/>
  <c r="W74" i="25"/>
  <c r="V74" i="25"/>
  <c r="U74" i="25"/>
  <c r="T74" i="25"/>
  <c r="S74" i="25"/>
  <c r="R74" i="25"/>
  <c r="Q74" i="25"/>
  <c r="P74" i="25"/>
  <c r="O74" i="25"/>
  <c r="N74" i="25"/>
  <c r="M74" i="25"/>
  <c r="L74" i="25"/>
  <c r="BK73" i="25"/>
  <c r="BJ73" i="25"/>
  <c r="BD73" i="25"/>
  <c r="BB73" i="25"/>
  <c r="BA73" i="25"/>
  <c r="AS73" i="25"/>
  <c r="AR73" i="25"/>
  <c r="AA73" i="25"/>
  <c r="Z73" i="25"/>
  <c r="M73" i="25"/>
  <c r="L73" i="25"/>
  <c r="BK72" i="25"/>
  <c r="BJ72" i="25"/>
  <c r="BF72" i="25"/>
  <c r="BE72" i="25"/>
  <c r="BD72" i="25"/>
  <c r="BB72" i="25"/>
  <c r="BA72" i="25"/>
  <c r="AS72" i="25"/>
  <c r="AR72" i="25"/>
  <c r="AA72" i="25"/>
  <c r="Z72" i="25"/>
  <c r="M72" i="25"/>
  <c r="L72" i="25"/>
  <c r="BK71" i="25"/>
  <c r="BJ71" i="25"/>
  <c r="BI71" i="25"/>
  <c r="BH71" i="25"/>
  <c r="BG71" i="25"/>
  <c r="BF71" i="25"/>
  <c r="BE71" i="25"/>
  <c r="BD71" i="25"/>
  <c r="BC71" i="25"/>
  <c r="BB71" i="25"/>
  <c r="BA71" i="25"/>
  <c r="AZ71" i="25"/>
  <c r="AY71" i="25"/>
  <c r="AX71" i="25"/>
  <c r="AS71" i="25"/>
  <c r="AR71" i="25"/>
  <c r="AQ71" i="25"/>
  <c r="AP71" i="25"/>
  <c r="AO71" i="25"/>
  <c r="AN71" i="25"/>
  <c r="AM71" i="25"/>
  <c r="AL71" i="25"/>
  <c r="AK71" i="25"/>
  <c r="AJ71" i="25"/>
  <c r="AI71" i="25"/>
  <c r="AH71" i="25"/>
  <c r="AG71" i="25"/>
  <c r="AF71" i="25"/>
  <c r="AA71" i="25"/>
  <c r="Z71" i="25"/>
  <c r="Y71" i="25"/>
  <c r="X71" i="25"/>
  <c r="W71" i="25"/>
  <c r="V71" i="25"/>
  <c r="U71" i="25"/>
  <c r="T71" i="25"/>
  <c r="S71" i="25"/>
  <c r="R71" i="25"/>
  <c r="Q71" i="25"/>
  <c r="P71" i="25"/>
  <c r="O71" i="25"/>
  <c r="N71" i="25"/>
  <c r="M71" i="25"/>
  <c r="L71" i="25"/>
  <c r="BK70" i="25"/>
  <c r="BJ70" i="25"/>
  <c r="BE70" i="25"/>
  <c r="BB70" i="25"/>
  <c r="BA70" i="25"/>
  <c r="AS70" i="25"/>
  <c r="AR70" i="25"/>
  <c r="AA70" i="25"/>
  <c r="Z70" i="25"/>
  <c r="M70" i="25"/>
  <c r="L70" i="25"/>
  <c r="BK69" i="25"/>
  <c r="BJ69" i="25"/>
  <c r="BF69" i="25"/>
  <c r="BE69" i="25"/>
  <c r="BD69" i="25"/>
  <c r="BB69" i="25"/>
  <c r="BA69" i="25"/>
  <c r="AS69" i="25"/>
  <c r="AR69" i="25"/>
  <c r="AA69" i="25"/>
  <c r="Z69" i="25"/>
  <c r="M69" i="25"/>
  <c r="L69" i="25"/>
  <c r="BK68" i="25"/>
  <c r="BJ68" i="25"/>
  <c r="BI68" i="25"/>
  <c r="BH68" i="25"/>
  <c r="BG68" i="25"/>
  <c r="BF68" i="25"/>
  <c r="BE68" i="25"/>
  <c r="BD68" i="25"/>
  <c r="BC68" i="25"/>
  <c r="BB68" i="25"/>
  <c r="BA68" i="25"/>
  <c r="AZ68" i="25"/>
  <c r="AY68" i="25"/>
  <c r="AX68" i="25"/>
  <c r="AS68" i="25"/>
  <c r="AR68" i="25"/>
  <c r="AQ68" i="25"/>
  <c r="AP68" i="25"/>
  <c r="AO68" i="25"/>
  <c r="AN68" i="25"/>
  <c r="AM68" i="25"/>
  <c r="AL68" i="25"/>
  <c r="AK68" i="25"/>
  <c r="AJ68" i="25"/>
  <c r="AI68" i="25"/>
  <c r="AH68" i="25"/>
  <c r="AG68" i="25"/>
  <c r="AF68" i="25"/>
  <c r="AA68" i="25"/>
  <c r="Z68" i="25"/>
  <c r="Y68" i="25"/>
  <c r="X68" i="25"/>
  <c r="W68" i="25"/>
  <c r="V68" i="25"/>
  <c r="U68" i="25"/>
  <c r="T68" i="25"/>
  <c r="S68" i="25"/>
  <c r="R68" i="25"/>
  <c r="Q68" i="25"/>
  <c r="P68" i="25"/>
  <c r="O68" i="25"/>
  <c r="N68" i="25"/>
  <c r="M68" i="25"/>
  <c r="L68" i="25"/>
  <c r="BK67" i="25"/>
  <c r="BJ67" i="25"/>
  <c r="AS67" i="25"/>
  <c r="AR67" i="25"/>
  <c r="AA67" i="25"/>
  <c r="Z67" i="25"/>
  <c r="M67" i="25"/>
  <c r="L67" i="25"/>
  <c r="BK66" i="25"/>
  <c r="BJ66" i="25"/>
  <c r="AS66" i="25"/>
  <c r="AR66" i="25"/>
  <c r="AA66" i="25"/>
  <c r="Z66" i="25"/>
  <c r="M66" i="25"/>
  <c r="L66" i="25"/>
  <c r="K58" i="25"/>
  <c r="J58" i="25"/>
  <c r="I58" i="25"/>
  <c r="A55" i="25"/>
  <c r="K52" i="25"/>
  <c r="J52" i="25"/>
  <c r="I52" i="25"/>
  <c r="K51" i="25"/>
  <c r="K50" i="25"/>
  <c r="K49" i="25"/>
  <c r="J49" i="25"/>
  <c r="I49" i="25"/>
  <c r="K48" i="25"/>
  <c r="K47" i="25"/>
  <c r="K46" i="25"/>
  <c r="J46" i="25"/>
  <c r="I46" i="25"/>
  <c r="K45" i="25"/>
  <c r="K44" i="25"/>
  <c r="K43" i="25"/>
  <c r="K42" i="25"/>
  <c r="K41" i="25"/>
  <c r="K40" i="25"/>
  <c r="K39" i="25"/>
  <c r="N34" i="25"/>
  <c r="M34" i="25"/>
  <c r="A31" i="25"/>
  <c r="A188" i="18"/>
  <c r="A184" i="18"/>
  <c r="A180" i="18"/>
  <c r="L178" i="18"/>
  <c r="K178" i="18"/>
  <c r="J178" i="18"/>
  <c r="L177" i="18"/>
  <c r="J177" i="18"/>
  <c r="L176" i="18"/>
  <c r="L175" i="18"/>
  <c r="L174" i="18"/>
  <c r="L173" i="18"/>
  <c r="L172" i="18"/>
  <c r="K172" i="18"/>
  <c r="J172" i="18"/>
  <c r="L171" i="18"/>
  <c r="L170" i="18"/>
  <c r="L169" i="18"/>
  <c r="L168" i="18"/>
  <c r="K168" i="18"/>
  <c r="J168" i="18"/>
  <c r="L167" i="18"/>
  <c r="K167" i="18"/>
  <c r="J167" i="18"/>
  <c r="L166" i="18"/>
  <c r="L165" i="18"/>
  <c r="L164" i="18"/>
  <c r="L163" i="18"/>
  <c r="L162" i="18"/>
  <c r="K162" i="18"/>
  <c r="J162" i="18"/>
  <c r="L161" i="18"/>
  <c r="L160" i="18"/>
  <c r="L159" i="18"/>
  <c r="N154" i="18"/>
  <c r="N153" i="18"/>
  <c r="H153" i="18"/>
  <c r="N152" i="18"/>
  <c r="A149" i="18"/>
  <c r="J136" i="18"/>
  <c r="J59" i="18"/>
  <c r="J58" i="18"/>
  <c r="K51" i="18"/>
  <c r="A48" i="18"/>
  <c r="K46" i="18"/>
  <c r="J46" i="18"/>
  <c r="I46" i="18"/>
  <c r="K45" i="18"/>
  <c r="K44" i="18"/>
  <c r="K43" i="18"/>
  <c r="J43" i="18"/>
  <c r="I43" i="18"/>
  <c r="K42" i="18"/>
  <c r="K41" i="18"/>
  <c r="K39" i="18"/>
  <c r="K38" i="18"/>
  <c r="K37" i="18"/>
  <c r="K36" i="18"/>
  <c r="K35" i="18"/>
  <c r="M30" i="18"/>
  <c r="A27" i="18"/>
  <c r="K305" i="32"/>
  <c r="J305" i="32"/>
  <c r="I305" i="32"/>
  <c r="K304" i="32"/>
  <c r="K303" i="32"/>
  <c r="K302" i="32"/>
  <c r="K301" i="32"/>
  <c r="K300" i="32"/>
  <c r="K299" i="32"/>
  <c r="J299" i="32"/>
  <c r="I299" i="32"/>
  <c r="K298" i="32"/>
  <c r="K297" i="32"/>
  <c r="K296" i="32"/>
  <c r="K295" i="32"/>
  <c r="K294" i="32"/>
  <c r="K293" i="32"/>
  <c r="J293" i="32"/>
  <c r="I293" i="32"/>
  <c r="K292" i="32"/>
  <c r="K291" i="32"/>
  <c r="K290" i="32"/>
  <c r="K289" i="32"/>
  <c r="K288" i="32"/>
  <c r="I283" i="32"/>
  <c r="H283" i="32"/>
  <c r="G283" i="32"/>
  <c r="I282" i="32"/>
  <c r="H282" i="32"/>
  <c r="G282" i="32"/>
  <c r="I281" i="32"/>
  <c r="H281" i="32"/>
  <c r="G281" i="32"/>
  <c r="I280" i="32"/>
  <c r="H280" i="32"/>
  <c r="G280" i="32"/>
  <c r="I279" i="32"/>
  <c r="H279" i="32"/>
  <c r="G279" i="32"/>
  <c r="I278" i="32"/>
  <c r="H278" i="32"/>
  <c r="G278" i="32"/>
  <c r="A275" i="32"/>
  <c r="G271" i="32"/>
  <c r="F271" i="32"/>
  <c r="D271" i="32"/>
  <c r="C271" i="32"/>
  <c r="G270" i="32"/>
  <c r="F270" i="32"/>
  <c r="D270" i="32"/>
  <c r="C270" i="32"/>
  <c r="G269" i="32"/>
  <c r="F269" i="32"/>
  <c r="D269" i="32"/>
  <c r="C269" i="32"/>
  <c r="G268" i="32"/>
  <c r="F268" i="32"/>
  <c r="D268" i="32"/>
  <c r="C268" i="32"/>
  <c r="G267" i="32"/>
  <c r="F267" i="32"/>
  <c r="D267" i="32"/>
  <c r="C267" i="32"/>
  <c r="G266" i="32"/>
  <c r="F266" i="32"/>
  <c r="E266" i="32"/>
  <c r="D266" i="32"/>
  <c r="C266" i="32"/>
  <c r="C265" i="32"/>
  <c r="C264" i="32"/>
  <c r="C263" i="32"/>
  <c r="C262" i="32"/>
  <c r="G261" i="32"/>
  <c r="F261" i="32"/>
  <c r="E261" i="32"/>
  <c r="D261" i="32"/>
  <c r="C261" i="32"/>
  <c r="C260" i="32"/>
  <c r="C259" i="32"/>
  <c r="C258" i="32"/>
  <c r="G252" i="32"/>
  <c r="F252" i="32"/>
  <c r="E252" i="32"/>
  <c r="D252" i="32"/>
  <c r="C252" i="32"/>
  <c r="D251" i="32"/>
  <c r="C251" i="32"/>
  <c r="D250" i="32"/>
  <c r="C250" i="32"/>
  <c r="D249" i="32"/>
  <c r="C249" i="32"/>
  <c r="D248" i="32"/>
  <c r="C248" i="32"/>
  <c r="G247" i="32"/>
  <c r="F247" i="32"/>
  <c r="E247" i="32"/>
  <c r="D247" i="32"/>
  <c r="C247" i="32"/>
  <c r="G242" i="32"/>
  <c r="F242" i="32"/>
  <c r="E242" i="32"/>
  <c r="D242" i="32"/>
  <c r="C242" i="32"/>
  <c r="G237" i="32"/>
  <c r="F237" i="32"/>
  <c r="E237" i="32"/>
  <c r="D237" i="32"/>
  <c r="C237" i="32"/>
  <c r="C233" i="32"/>
  <c r="I229" i="32"/>
  <c r="H229" i="32"/>
  <c r="L226" i="32"/>
  <c r="K226" i="32"/>
  <c r="J226" i="32"/>
  <c r="I226" i="32"/>
  <c r="H226" i="32"/>
  <c r="D225" i="32"/>
  <c r="I224" i="32"/>
  <c r="H224" i="32"/>
  <c r="L223" i="32"/>
  <c r="K223" i="32"/>
  <c r="J223" i="32"/>
  <c r="I223" i="32"/>
  <c r="H223" i="32"/>
  <c r="D222" i="32"/>
  <c r="I221" i="32"/>
  <c r="H221" i="32"/>
  <c r="L220" i="32"/>
  <c r="K220" i="32"/>
  <c r="J220" i="32"/>
  <c r="I220" i="32"/>
  <c r="H220" i="32"/>
  <c r="I218" i="32"/>
  <c r="H218" i="32"/>
  <c r="L217" i="32"/>
  <c r="K217" i="32"/>
  <c r="J217" i="32"/>
  <c r="I217" i="32"/>
  <c r="H217" i="32"/>
  <c r="I215" i="32"/>
  <c r="H215" i="32"/>
  <c r="L214" i="32"/>
  <c r="K214" i="32"/>
  <c r="J214" i="32"/>
  <c r="I214" i="32"/>
  <c r="H214" i="32"/>
  <c r="D213" i="32"/>
  <c r="I212" i="32"/>
  <c r="F205" i="32"/>
  <c r="E205" i="32"/>
  <c r="I204" i="32"/>
  <c r="H204" i="32"/>
  <c r="G204" i="32"/>
  <c r="F204" i="32"/>
  <c r="E204" i="32"/>
  <c r="I203" i="32"/>
  <c r="H203" i="32"/>
  <c r="G203" i="32"/>
  <c r="F203" i="32"/>
  <c r="E203" i="32"/>
  <c r="I202" i="32"/>
  <c r="H202" i="32"/>
  <c r="G202" i="32"/>
  <c r="F202" i="32"/>
  <c r="E202" i="32"/>
  <c r="I201" i="32"/>
  <c r="H201" i="32"/>
  <c r="G201" i="32"/>
  <c r="F201" i="32"/>
  <c r="E201" i="32"/>
  <c r="I200" i="32"/>
  <c r="H200" i="32"/>
  <c r="G200" i="32"/>
  <c r="F200" i="32"/>
  <c r="E200" i="32"/>
  <c r="I197" i="32"/>
  <c r="H197" i="32"/>
  <c r="I196" i="32"/>
  <c r="H196" i="32"/>
  <c r="I195" i="32"/>
  <c r="H195" i="32"/>
  <c r="L194" i="32"/>
  <c r="K194" i="32"/>
  <c r="J194" i="32"/>
  <c r="I194" i="32"/>
  <c r="H194" i="32"/>
  <c r="D193" i="32"/>
  <c r="I192" i="32"/>
  <c r="L191" i="32"/>
  <c r="K191" i="32"/>
  <c r="J191" i="32"/>
  <c r="I191" i="32"/>
  <c r="H191" i="32"/>
  <c r="D190" i="32"/>
  <c r="I189" i="32"/>
  <c r="L188" i="32"/>
  <c r="K188" i="32"/>
  <c r="J188" i="32"/>
  <c r="I188" i="32"/>
  <c r="H188" i="32"/>
  <c r="I186" i="32"/>
  <c r="H186" i="32"/>
  <c r="L185" i="32"/>
  <c r="K185" i="32"/>
  <c r="J185" i="32"/>
  <c r="I185" i="32"/>
  <c r="H185" i="32"/>
  <c r="I183" i="32"/>
  <c r="H183" i="32"/>
  <c r="L182" i="32"/>
  <c r="K182" i="32"/>
  <c r="J182" i="32"/>
  <c r="I182" i="32"/>
  <c r="H182" i="32"/>
  <c r="D181" i="32"/>
  <c r="I180" i="32"/>
  <c r="H174" i="32"/>
  <c r="G174" i="32"/>
  <c r="K173" i="32"/>
  <c r="J173" i="32"/>
  <c r="I173" i="32"/>
  <c r="H173" i="32"/>
  <c r="G173" i="32"/>
  <c r="K172" i="32"/>
  <c r="J172" i="32"/>
  <c r="I172" i="32"/>
  <c r="H172" i="32"/>
  <c r="G172" i="32"/>
  <c r="K171" i="32"/>
  <c r="J171" i="32"/>
  <c r="I171" i="32"/>
  <c r="H171" i="32"/>
  <c r="G171" i="32"/>
  <c r="K170" i="32"/>
  <c r="J170" i="32"/>
  <c r="I170" i="32"/>
  <c r="H170" i="32"/>
  <c r="G170" i="32"/>
  <c r="K169" i="32"/>
  <c r="J169" i="32"/>
  <c r="I169" i="32"/>
  <c r="H169" i="32"/>
  <c r="G169" i="32"/>
  <c r="A166" i="32"/>
  <c r="O164" i="32"/>
  <c r="N164" i="32"/>
  <c r="M164" i="32"/>
  <c r="L164" i="32"/>
  <c r="K164" i="32"/>
  <c r="J164" i="32"/>
  <c r="O163" i="32"/>
  <c r="N163" i="32"/>
  <c r="M163" i="32"/>
  <c r="L163" i="32"/>
  <c r="K163" i="32"/>
  <c r="J163" i="32"/>
  <c r="O162" i="32"/>
  <c r="N162" i="32"/>
  <c r="M162" i="32"/>
  <c r="L162" i="32"/>
  <c r="K162" i="32"/>
  <c r="J162" i="32"/>
  <c r="O161" i="32"/>
  <c r="N161" i="32"/>
  <c r="M161" i="32"/>
  <c r="L161" i="32"/>
  <c r="K161" i="32"/>
  <c r="J161" i="32"/>
  <c r="O160" i="32"/>
  <c r="N160" i="32"/>
  <c r="M160" i="32"/>
  <c r="L160" i="32"/>
  <c r="K160" i="32"/>
  <c r="J160" i="32"/>
  <c r="O159" i="32"/>
  <c r="N159" i="32"/>
  <c r="M159" i="32"/>
  <c r="L159" i="32"/>
  <c r="K159" i="32"/>
  <c r="J159" i="32"/>
  <c r="L156" i="32"/>
  <c r="O155" i="32"/>
  <c r="O154" i="32"/>
  <c r="N154" i="32"/>
  <c r="M154" i="32"/>
  <c r="L154" i="32"/>
  <c r="K154" i="32"/>
  <c r="J154" i="32"/>
  <c r="O153" i="32"/>
  <c r="L153" i="32"/>
  <c r="O152" i="32"/>
  <c r="L152" i="32"/>
  <c r="O151" i="32"/>
  <c r="L151" i="32"/>
  <c r="O150" i="32"/>
  <c r="L150" i="32"/>
  <c r="O149" i="32"/>
  <c r="N149" i="32"/>
  <c r="M149" i="32"/>
  <c r="L149" i="32"/>
  <c r="K149" i="32"/>
  <c r="J149" i="32"/>
  <c r="O148" i="32"/>
  <c r="L148" i="32"/>
  <c r="O147" i="32"/>
  <c r="L147" i="32"/>
  <c r="O146" i="32"/>
  <c r="L146" i="32"/>
  <c r="O145" i="32"/>
  <c r="L145" i="32"/>
  <c r="O144" i="32"/>
  <c r="N144" i="32"/>
  <c r="M144" i="32"/>
  <c r="L144" i="32"/>
  <c r="K144" i="32"/>
  <c r="J144" i="32"/>
  <c r="O143" i="32"/>
  <c r="L143" i="32"/>
  <c r="O142" i="32"/>
  <c r="L142" i="32"/>
  <c r="O141" i="32"/>
  <c r="L141" i="32"/>
  <c r="O140" i="32"/>
  <c r="L140" i="32"/>
  <c r="L139" i="32"/>
  <c r="K139" i="32"/>
  <c r="J139" i="32"/>
  <c r="L136" i="32"/>
  <c r="L135" i="32"/>
  <c r="G130" i="32"/>
  <c r="G129" i="32"/>
  <c r="G128" i="32"/>
  <c r="G127" i="32"/>
  <c r="G126" i="32"/>
  <c r="H125" i="32"/>
  <c r="G125" i="32"/>
  <c r="A122" i="32"/>
  <c r="E119" i="32"/>
  <c r="D119" i="32"/>
  <c r="D116" i="32"/>
  <c r="E115" i="32"/>
  <c r="E114" i="32"/>
  <c r="D114" i="32"/>
  <c r="E109" i="32"/>
  <c r="D109" i="32"/>
  <c r="E104" i="32"/>
  <c r="D104" i="32"/>
  <c r="E103" i="32"/>
  <c r="D103" i="32"/>
  <c r="E102" i="32"/>
  <c r="D102" i="32"/>
  <c r="E101" i="32"/>
  <c r="D101" i="32"/>
  <c r="E100" i="32"/>
  <c r="D100" i="32"/>
  <c r="E99" i="32"/>
  <c r="D99" i="32"/>
  <c r="E94" i="32"/>
  <c r="D94" i="32"/>
  <c r="E89" i="32"/>
  <c r="D89" i="32"/>
  <c r="E88" i="32"/>
  <c r="E87" i="32"/>
  <c r="D87" i="32"/>
  <c r="E86" i="32"/>
  <c r="D86" i="32"/>
  <c r="E85" i="32"/>
  <c r="D85" i="32"/>
  <c r="E84" i="32"/>
  <c r="D84" i="32"/>
  <c r="E79" i="32"/>
  <c r="D79" i="32"/>
  <c r="E74" i="32"/>
  <c r="D74" i="32"/>
  <c r="E73" i="32"/>
  <c r="D73" i="32"/>
  <c r="E72" i="32"/>
  <c r="D72" i="32"/>
  <c r="E71" i="32"/>
  <c r="D71" i="32"/>
  <c r="E70" i="32"/>
  <c r="D70" i="32"/>
  <c r="E69" i="32"/>
  <c r="D69" i="32"/>
  <c r="D67" i="32"/>
  <c r="E64" i="32"/>
  <c r="D64" i="32"/>
  <c r="D62" i="32"/>
  <c r="D61" i="32"/>
  <c r="D60" i="32"/>
  <c r="D59" i="32"/>
  <c r="D56" i="32"/>
  <c r="D55" i="32"/>
  <c r="D54" i="32"/>
  <c r="D49" i="32"/>
  <c r="D46" i="32"/>
  <c r="A40" i="32"/>
  <c r="K303" i="35"/>
  <c r="J303" i="35"/>
  <c r="I303" i="35"/>
  <c r="K302" i="35"/>
  <c r="K301" i="35"/>
  <c r="K300" i="35"/>
  <c r="K299" i="35"/>
  <c r="K298" i="35"/>
  <c r="K297" i="35"/>
  <c r="J297" i="35"/>
  <c r="I297" i="35"/>
  <c r="K296" i="35"/>
  <c r="K295" i="35"/>
  <c r="K294" i="35"/>
  <c r="K293" i="35"/>
  <c r="K292" i="35"/>
  <c r="K288" i="35"/>
  <c r="G283" i="35"/>
  <c r="G282" i="35"/>
  <c r="G281" i="35"/>
  <c r="G280" i="35"/>
  <c r="G279" i="35"/>
  <c r="G278" i="35"/>
  <c r="A275" i="35"/>
  <c r="G271" i="35"/>
  <c r="F271" i="35"/>
  <c r="D271" i="35"/>
  <c r="C271" i="35"/>
  <c r="G270" i="35"/>
  <c r="F270" i="35"/>
  <c r="D270" i="35"/>
  <c r="C270" i="35"/>
  <c r="G269" i="35"/>
  <c r="F269" i="35"/>
  <c r="D269" i="35"/>
  <c r="C269" i="35"/>
  <c r="G268" i="35"/>
  <c r="F268" i="35"/>
  <c r="D268" i="35"/>
  <c r="C268" i="35"/>
  <c r="G267" i="35"/>
  <c r="F267" i="35"/>
  <c r="D267" i="35"/>
  <c r="C267" i="35"/>
  <c r="G266" i="35"/>
  <c r="F266" i="35"/>
  <c r="E266" i="35"/>
  <c r="D266" i="35"/>
  <c r="C266" i="35"/>
  <c r="C265" i="35"/>
  <c r="C264" i="35"/>
  <c r="C263" i="35"/>
  <c r="C262" i="35"/>
  <c r="G261" i="35"/>
  <c r="F261" i="35"/>
  <c r="E261" i="35"/>
  <c r="D261" i="35"/>
  <c r="C261" i="35"/>
  <c r="C260" i="35"/>
  <c r="C259" i="35"/>
  <c r="C258" i="35"/>
  <c r="G252" i="35"/>
  <c r="F252" i="35"/>
  <c r="E252" i="35"/>
  <c r="D252" i="35"/>
  <c r="C252" i="35"/>
  <c r="D251" i="35"/>
  <c r="C251" i="35"/>
  <c r="D250" i="35"/>
  <c r="C250" i="35"/>
  <c r="D249" i="35"/>
  <c r="C249" i="35"/>
  <c r="D248" i="35"/>
  <c r="C248" i="35"/>
  <c r="G247" i="35"/>
  <c r="F247" i="35"/>
  <c r="E247" i="35"/>
  <c r="D247" i="35"/>
  <c r="C247" i="35"/>
  <c r="G242" i="35"/>
  <c r="F242" i="35"/>
  <c r="E242" i="35"/>
  <c r="D242" i="35"/>
  <c r="C242" i="35"/>
  <c r="G237" i="35"/>
  <c r="F237" i="35"/>
  <c r="E237" i="35"/>
  <c r="D237" i="35"/>
  <c r="C237" i="35"/>
  <c r="C233" i="35"/>
  <c r="I229" i="35"/>
  <c r="H229" i="35"/>
  <c r="L226" i="35"/>
  <c r="K226" i="35"/>
  <c r="J226" i="35"/>
  <c r="I226" i="35"/>
  <c r="H226" i="35"/>
  <c r="D225" i="35"/>
  <c r="I224" i="35"/>
  <c r="H224" i="35"/>
  <c r="L223" i="35"/>
  <c r="K223" i="35"/>
  <c r="J223" i="35"/>
  <c r="I223" i="35"/>
  <c r="H223" i="35"/>
  <c r="D222" i="35"/>
  <c r="I221" i="35"/>
  <c r="H221" i="35"/>
  <c r="L220" i="35"/>
  <c r="K220" i="35"/>
  <c r="J220" i="35"/>
  <c r="I220" i="35"/>
  <c r="H220" i="35"/>
  <c r="I218" i="35"/>
  <c r="H218" i="35"/>
  <c r="L217" i="35"/>
  <c r="K217" i="35"/>
  <c r="J217" i="35"/>
  <c r="I217" i="35"/>
  <c r="H217" i="35"/>
  <c r="I215" i="35"/>
  <c r="H215" i="35"/>
  <c r="L214" i="35"/>
  <c r="K214" i="35"/>
  <c r="J214" i="35"/>
  <c r="I214" i="35"/>
  <c r="H214" i="35"/>
  <c r="D213" i="35"/>
  <c r="I212" i="35"/>
  <c r="F205" i="35"/>
  <c r="E205" i="35"/>
  <c r="I204" i="35"/>
  <c r="H204" i="35"/>
  <c r="G204" i="35"/>
  <c r="F204" i="35"/>
  <c r="E204" i="35"/>
  <c r="I203" i="35"/>
  <c r="H203" i="35"/>
  <c r="G203" i="35"/>
  <c r="F203" i="35"/>
  <c r="E203" i="35"/>
  <c r="I202" i="35"/>
  <c r="H202" i="35"/>
  <c r="G202" i="35"/>
  <c r="F202" i="35"/>
  <c r="E202" i="35"/>
  <c r="I201" i="35"/>
  <c r="H201" i="35"/>
  <c r="G201" i="35"/>
  <c r="F201" i="35"/>
  <c r="E201" i="35"/>
  <c r="I200" i="35"/>
  <c r="H200" i="35"/>
  <c r="G200" i="35"/>
  <c r="F200" i="35"/>
  <c r="E200" i="35"/>
  <c r="I197" i="35"/>
  <c r="H197" i="35"/>
  <c r="I196" i="35"/>
  <c r="H196" i="35"/>
  <c r="I195" i="35"/>
  <c r="H195" i="35"/>
  <c r="L194" i="35"/>
  <c r="K194" i="35"/>
  <c r="J194" i="35"/>
  <c r="I194" i="35"/>
  <c r="H194" i="35"/>
  <c r="D193" i="35"/>
  <c r="I192" i="35"/>
  <c r="L191" i="35"/>
  <c r="K191" i="35"/>
  <c r="J191" i="35"/>
  <c r="I191" i="35"/>
  <c r="H191" i="35"/>
  <c r="D190" i="35"/>
  <c r="I189" i="35"/>
  <c r="L188" i="35"/>
  <c r="K188" i="35"/>
  <c r="J188" i="35"/>
  <c r="I188" i="35"/>
  <c r="H188" i="35"/>
  <c r="I186" i="35"/>
  <c r="H186" i="35"/>
  <c r="L185" i="35"/>
  <c r="K185" i="35"/>
  <c r="J185" i="35"/>
  <c r="I185" i="35"/>
  <c r="H185" i="35"/>
  <c r="I183" i="35"/>
  <c r="H183" i="35"/>
  <c r="L182" i="35"/>
  <c r="K182" i="35"/>
  <c r="J182" i="35"/>
  <c r="I182" i="35"/>
  <c r="H182" i="35"/>
  <c r="D181" i="35"/>
  <c r="I180" i="35"/>
  <c r="H174" i="35"/>
  <c r="G174" i="35"/>
  <c r="K173" i="35"/>
  <c r="J173" i="35"/>
  <c r="I173" i="35"/>
  <c r="H173" i="35"/>
  <c r="G173" i="35"/>
  <c r="K172" i="35"/>
  <c r="J172" i="35"/>
  <c r="I172" i="35"/>
  <c r="H172" i="35"/>
  <c r="G172" i="35"/>
  <c r="K171" i="35"/>
  <c r="J171" i="35"/>
  <c r="I171" i="35"/>
  <c r="H171" i="35"/>
  <c r="G171" i="35"/>
  <c r="K170" i="35"/>
  <c r="J170" i="35"/>
  <c r="I170" i="35"/>
  <c r="H170" i="35"/>
  <c r="G170" i="35"/>
  <c r="K169" i="35"/>
  <c r="J169" i="35"/>
  <c r="I169" i="35"/>
  <c r="H169" i="35"/>
  <c r="G169" i="35"/>
  <c r="A166" i="35"/>
  <c r="O164" i="35"/>
  <c r="N164" i="35"/>
  <c r="M164" i="35"/>
  <c r="L164" i="35"/>
  <c r="K164" i="35"/>
  <c r="J164" i="35"/>
  <c r="O163" i="35"/>
  <c r="N163" i="35"/>
  <c r="M163" i="35"/>
  <c r="L163" i="35"/>
  <c r="K163" i="35"/>
  <c r="J163" i="35"/>
  <c r="O162" i="35"/>
  <c r="N162" i="35"/>
  <c r="M162" i="35"/>
  <c r="L162" i="35"/>
  <c r="K162" i="35"/>
  <c r="J162" i="35"/>
  <c r="O161" i="35"/>
  <c r="N161" i="35"/>
  <c r="M161" i="35"/>
  <c r="L161" i="35"/>
  <c r="K161" i="35"/>
  <c r="J161" i="35"/>
  <c r="O160" i="35"/>
  <c r="N160" i="35"/>
  <c r="M160" i="35"/>
  <c r="L160" i="35"/>
  <c r="K160" i="35"/>
  <c r="J160" i="35"/>
  <c r="O159" i="35"/>
  <c r="N159" i="35"/>
  <c r="M159" i="35"/>
  <c r="L159" i="35"/>
  <c r="K159" i="35"/>
  <c r="J159" i="35"/>
  <c r="L156" i="35"/>
  <c r="O155" i="35"/>
  <c r="O154" i="35"/>
  <c r="N154" i="35"/>
  <c r="M154" i="35"/>
  <c r="L154" i="35"/>
  <c r="K154" i="35"/>
  <c r="J154" i="35"/>
  <c r="O153" i="35"/>
  <c r="L153" i="35"/>
  <c r="O152" i="35"/>
  <c r="L152" i="35"/>
  <c r="O151" i="35"/>
  <c r="L151" i="35"/>
  <c r="O150" i="35"/>
  <c r="L150" i="35"/>
  <c r="O149" i="35"/>
  <c r="N149" i="35"/>
  <c r="M149" i="35"/>
  <c r="L149" i="35"/>
  <c r="K149" i="35"/>
  <c r="J149" i="35"/>
  <c r="O148" i="35"/>
  <c r="L148" i="35"/>
  <c r="O147" i="35"/>
  <c r="L147" i="35"/>
  <c r="O146" i="35"/>
  <c r="L146" i="35"/>
  <c r="O145" i="35"/>
  <c r="L145" i="35"/>
  <c r="O144" i="35"/>
  <c r="N144" i="35"/>
  <c r="M144" i="35"/>
  <c r="L144" i="35"/>
  <c r="K144" i="35"/>
  <c r="J144" i="35"/>
  <c r="O143" i="35"/>
  <c r="L143" i="35"/>
  <c r="O142" i="35"/>
  <c r="L142" i="35"/>
  <c r="O141" i="35"/>
  <c r="L141" i="35"/>
  <c r="O140" i="35"/>
  <c r="L140" i="35"/>
  <c r="L139" i="35"/>
  <c r="K139" i="35"/>
  <c r="J139" i="35"/>
  <c r="L136" i="35"/>
  <c r="L135" i="35"/>
  <c r="H130" i="35"/>
  <c r="G130" i="35"/>
  <c r="H129" i="35"/>
  <c r="G129" i="35"/>
  <c r="H128" i="35"/>
  <c r="G128" i="35"/>
  <c r="H127" i="35"/>
  <c r="G127" i="35"/>
  <c r="H126" i="35"/>
  <c r="G126" i="35"/>
  <c r="H125" i="35"/>
  <c r="G125" i="35"/>
  <c r="A122" i="35"/>
  <c r="E119" i="35"/>
  <c r="D119" i="35"/>
  <c r="D116" i="35"/>
  <c r="E115" i="35"/>
  <c r="E114" i="35"/>
  <c r="D114" i="35"/>
  <c r="E109" i="35"/>
  <c r="D109" i="35"/>
  <c r="E104" i="35"/>
  <c r="D104" i="35"/>
  <c r="E103" i="35"/>
  <c r="D103" i="35"/>
  <c r="E102" i="35"/>
  <c r="D102" i="35"/>
  <c r="E101" i="35"/>
  <c r="D101" i="35"/>
  <c r="E100" i="35"/>
  <c r="D100" i="35"/>
  <c r="E99" i="35"/>
  <c r="D99" i="35"/>
  <c r="E94" i="35"/>
  <c r="D94" i="35"/>
  <c r="E89" i="35"/>
  <c r="D89" i="35"/>
  <c r="E88" i="35"/>
  <c r="E87" i="35"/>
  <c r="D87" i="35"/>
  <c r="E86" i="35"/>
  <c r="D86" i="35"/>
  <c r="E85" i="35"/>
  <c r="D85" i="35"/>
  <c r="E84" i="35"/>
  <c r="D84" i="35"/>
  <c r="E79" i="35"/>
  <c r="D79" i="35"/>
  <c r="E74" i="35"/>
  <c r="D74" i="35"/>
  <c r="E73" i="35"/>
  <c r="D73" i="35"/>
  <c r="E72" i="35"/>
  <c r="D72" i="35"/>
  <c r="E71" i="35"/>
  <c r="D71" i="35"/>
  <c r="E70" i="35"/>
  <c r="D70" i="35"/>
  <c r="E69" i="35"/>
  <c r="D69" i="35"/>
  <c r="D67" i="35"/>
  <c r="E64" i="35"/>
  <c r="D64" i="35"/>
  <c r="D62" i="35"/>
  <c r="D61" i="35"/>
  <c r="D60" i="35"/>
  <c r="D59" i="35"/>
  <c r="D56" i="35"/>
  <c r="D55" i="35"/>
  <c r="D54" i="35"/>
  <c r="D49" i="35"/>
  <c r="D46" i="35"/>
  <c r="A40" i="35"/>
  <c r="F14" i="127"/>
  <c r="D14" i="127"/>
  <c r="F13" i="127"/>
  <c r="D13" i="127"/>
  <c r="D9" i="127"/>
  <c r="B9" i="127"/>
  <c r="D8" i="127"/>
  <c r="B8" i="127"/>
  <c r="D7" i="127"/>
  <c r="B7" i="127"/>
  <c r="A340" i="17"/>
  <c r="A336" i="17"/>
  <c r="K333" i="17"/>
  <c r="J333" i="17"/>
  <c r="I333" i="17"/>
  <c r="K332" i="17"/>
  <c r="K331" i="17"/>
  <c r="K330" i="17"/>
  <c r="J330" i="17"/>
  <c r="I330" i="17"/>
  <c r="K329" i="17"/>
  <c r="K328" i="17"/>
  <c r="K327" i="17"/>
  <c r="J321" i="17"/>
  <c r="A318" i="17"/>
  <c r="K315" i="17"/>
  <c r="J315" i="17"/>
  <c r="I315" i="17"/>
  <c r="K314" i="17"/>
  <c r="K313" i="17"/>
  <c r="K312" i="17"/>
  <c r="K311" i="17"/>
  <c r="K310" i="17"/>
  <c r="K309" i="17"/>
  <c r="J309" i="17"/>
  <c r="I309" i="17"/>
  <c r="K308" i="17"/>
  <c r="K307" i="17"/>
  <c r="K306" i="17"/>
  <c r="K305" i="17"/>
  <c r="K304" i="17"/>
  <c r="K303" i="17"/>
  <c r="J303" i="17"/>
  <c r="I303" i="17"/>
  <c r="K302" i="17"/>
  <c r="K301" i="17"/>
  <c r="K300" i="17"/>
  <c r="K299" i="17"/>
  <c r="K298" i="17"/>
  <c r="K297" i="17"/>
  <c r="K296" i="17"/>
  <c r="K295" i="17"/>
  <c r="K294" i="17"/>
  <c r="K293" i="17"/>
  <c r="K288" i="17"/>
  <c r="J288" i="17"/>
  <c r="K287" i="17"/>
  <c r="J287" i="17"/>
  <c r="K286" i="17"/>
  <c r="J286" i="17"/>
  <c r="K285" i="17"/>
  <c r="J285" i="17"/>
  <c r="K284" i="17"/>
  <c r="J284" i="17"/>
  <c r="K283" i="17"/>
  <c r="A280" i="17"/>
  <c r="K278" i="17"/>
  <c r="J278" i="17"/>
  <c r="K277" i="17"/>
  <c r="J277" i="17"/>
  <c r="K276" i="17"/>
  <c r="K275" i="17"/>
  <c r="K274" i="17"/>
  <c r="K273" i="17"/>
  <c r="K272" i="17"/>
  <c r="K271" i="17"/>
  <c r="K270" i="17"/>
  <c r="K269" i="17"/>
  <c r="K263" i="17"/>
  <c r="K262" i="17"/>
  <c r="K258" i="17"/>
  <c r="J258" i="17"/>
  <c r="K257" i="17"/>
  <c r="J257" i="17"/>
  <c r="K256" i="17"/>
  <c r="K255" i="17"/>
  <c r="K254" i="17"/>
  <c r="K253" i="17"/>
  <c r="K252" i="17"/>
  <c r="K251" i="17"/>
  <c r="K250" i="17"/>
  <c r="K249" i="17"/>
  <c r="K243" i="17"/>
  <c r="K242" i="17"/>
  <c r="K238" i="17"/>
  <c r="J238" i="17"/>
  <c r="K237" i="17"/>
  <c r="J237" i="17"/>
  <c r="K236" i="17"/>
  <c r="K235" i="17"/>
  <c r="K234" i="17"/>
  <c r="K233" i="17"/>
  <c r="K232" i="17"/>
  <c r="K231" i="17"/>
  <c r="K230" i="17"/>
  <c r="K229" i="17"/>
  <c r="K223" i="17"/>
  <c r="K222" i="17"/>
  <c r="K218" i="17"/>
  <c r="K217" i="17"/>
  <c r="K216" i="17"/>
  <c r="K215" i="17"/>
  <c r="K214" i="17"/>
  <c r="K213" i="17"/>
  <c r="K212" i="17"/>
  <c r="K211" i="17"/>
  <c r="K210" i="17"/>
  <c r="K209" i="17"/>
  <c r="K202" i="17"/>
  <c r="A199" i="17"/>
  <c r="L197" i="17"/>
  <c r="K197" i="17"/>
  <c r="J197" i="17"/>
  <c r="L196" i="17"/>
  <c r="L195" i="17"/>
  <c r="K195" i="17"/>
  <c r="J195" i="17"/>
  <c r="L194" i="17"/>
  <c r="K194" i="17"/>
  <c r="J194" i="17"/>
  <c r="L193" i="17"/>
  <c r="K193" i="17"/>
  <c r="J193" i="17"/>
  <c r="L192" i="17"/>
  <c r="K192" i="17"/>
  <c r="J192" i="17"/>
  <c r="L191" i="17"/>
  <c r="L190" i="17"/>
  <c r="L189" i="17"/>
  <c r="L188" i="17"/>
  <c r="L187" i="17"/>
  <c r="K187" i="17"/>
  <c r="J187" i="17"/>
  <c r="L186" i="17"/>
  <c r="L185" i="17"/>
  <c r="L184" i="17"/>
  <c r="L183" i="17"/>
  <c r="L182" i="17"/>
  <c r="K182" i="17"/>
  <c r="J182" i="17"/>
  <c r="L181" i="17"/>
  <c r="L180" i="17"/>
  <c r="L179" i="17"/>
  <c r="L178" i="17"/>
  <c r="L177" i="17"/>
  <c r="K177" i="17"/>
  <c r="J177" i="17"/>
  <c r="L176" i="17"/>
  <c r="L175" i="17"/>
  <c r="L174" i="17"/>
  <c r="L173" i="17"/>
  <c r="L172" i="17"/>
  <c r="K172" i="17"/>
  <c r="J172" i="17"/>
  <c r="L171" i="17"/>
  <c r="K171" i="17"/>
  <c r="J171" i="17"/>
  <c r="L170" i="17"/>
  <c r="K170" i="17"/>
  <c r="J170" i="17"/>
  <c r="L169" i="17"/>
  <c r="K169" i="17"/>
  <c r="J169" i="17"/>
  <c r="L168" i="17"/>
  <c r="K168" i="17"/>
  <c r="J168" i="17"/>
  <c r="L167" i="17"/>
  <c r="K167" i="17"/>
  <c r="J167" i="17"/>
  <c r="L166" i="17"/>
  <c r="L165" i="17"/>
  <c r="L164" i="17"/>
  <c r="L163" i="17"/>
  <c r="L162" i="17"/>
  <c r="K162" i="17"/>
  <c r="J162" i="17"/>
  <c r="L161" i="17"/>
  <c r="L160" i="17"/>
  <c r="L159" i="17"/>
  <c r="L158" i="17"/>
  <c r="L157" i="17"/>
  <c r="K157" i="17"/>
  <c r="J157" i="17"/>
  <c r="L156" i="17"/>
  <c r="L155" i="17"/>
  <c r="K155" i="17"/>
  <c r="J155" i="17"/>
  <c r="L154" i="17"/>
  <c r="K154" i="17"/>
  <c r="J154" i="17"/>
  <c r="L153" i="17"/>
  <c r="K153" i="17"/>
  <c r="J153" i="17"/>
  <c r="L152" i="17"/>
  <c r="K152" i="17"/>
  <c r="J152" i="17"/>
  <c r="L151" i="17"/>
  <c r="L150" i="17"/>
  <c r="L149" i="17"/>
  <c r="L148" i="17"/>
  <c r="L147" i="17"/>
  <c r="K147" i="17"/>
  <c r="J147" i="17"/>
  <c r="L146" i="17"/>
  <c r="L145" i="17"/>
  <c r="L144" i="17"/>
  <c r="L143" i="17"/>
  <c r="L142" i="17"/>
  <c r="K142" i="17"/>
  <c r="J142" i="17"/>
  <c r="L141" i="17"/>
  <c r="L140" i="17"/>
  <c r="L139" i="17"/>
  <c r="L138" i="17"/>
  <c r="L137" i="17"/>
  <c r="K137" i="17"/>
  <c r="J137" i="17"/>
  <c r="L136" i="17"/>
  <c r="L135" i="17"/>
  <c r="L134" i="17"/>
  <c r="L133" i="17"/>
  <c r="L132" i="17"/>
  <c r="K132" i="17"/>
  <c r="J132" i="17"/>
  <c r="L131" i="17"/>
  <c r="L130" i="17"/>
  <c r="L129" i="17"/>
  <c r="L128" i="17"/>
  <c r="L123" i="17"/>
  <c r="L122" i="17"/>
  <c r="L121" i="17"/>
  <c r="L120" i="17"/>
  <c r="L119" i="17"/>
  <c r="A116" i="17"/>
  <c r="K113" i="17"/>
  <c r="J113" i="17"/>
  <c r="I113" i="17"/>
  <c r="K112" i="17"/>
  <c r="K111" i="17"/>
  <c r="K110" i="17"/>
  <c r="J110" i="17"/>
  <c r="I110" i="17"/>
  <c r="K109" i="17"/>
  <c r="K106" i="17"/>
  <c r="K104" i="17"/>
  <c r="J99" i="17"/>
  <c r="A96" i="17"/>
  <c r="T93" i="17"/>
  <c r="S93" i="17"/>
  <c r="R93" i="17"/>
  <c r="Q93" i="17"/>
  <c r="P93" i="17"/>
  <c r="O93" i="17"/>
  <c r="N93" i="17"/>
  <c r="M93" i="17"/>
  <c r="L93" i="17"/>
  <c r="K93" i="17"/>
  <c r="J93" i="17"/>
  <c r="I93" i="17"/>
  <c r="T92" i="17"/>
  <c r="R92" i="17"/>
  <c r="Q92" i="17"/>
  <c r="T91" i="17"/>
  <c r="R91" i="17"/>
  <c r="Q91" i="17"/>
  <c r="T90" i="17"/>
  <c r="R90" i="17"/>
  <c r="Q90" i="17"/>
  <c r="T89" i="17"/>
  <c r="R89" i="17"/>
  <c r="Q89" i="17"/>
  <c r="T88" i="17"/>
  <c r="R88" i="17"/>
  <c r="Q88" i="17"/>
  <c r="T87" i="17"/>
  <c r="R87" i="17"/>
  <c r="Q87" i="17"/>
  <c r="T86" i="17"/>
  <c r="R86" i="17"/>
  <c r="Q86" i="17"/>
  <c r="T85" i="17"/>
  <c r="R85" i="17"/>
  <c r="Q85" i="17"/>
  <c r="T84" i="17"/>
  <c r="R84" i="17"/>
  <c r="Q84" i="17"/>
  <c r="T83" i="17"/>
  <c r="R83" i="17"/>
  <c r="Q83" i="17"/>
  <c r="T82" i="17"/>
  <c r="R82" i="17"/>
  <c r="Q82" i="17"/>
  <c r="T81" i="17"/>
  <c r="R81" i="17"/>
  <c r="Q81" i="17"/>
  <c r="T80" i="17"/>
  <c r="R80" i="17"/>
  <c r="Q80" i="17"/>
  <c r="T79" i="17"/>
  <c r="R79" i="17"/>
  <c r="Q79" i="17"/>
  <c r="T78" i="17"/>
  <c r="R78" i="17"/>
  <c r="Q78" i="17"/>
  <c r="T77" i="17"/>
  <c r="R77" i="17"/>
  <c r="Q77" i="17"/>
  <c r="T76" i="17"/>
  <c r="R76" i="17"/>
  <c r="Q76" i="17"/>
  <c r="L70" i="17"/>
  <c r="K70" i="17"/>
  <c r="J70" i="17"/>
  <c r="I70" i="17"/>
  <c r="H70" i="17"/>
  <c r="G70" i="17"/>
  <c r="A67" i="17"/>
  <c r="T64" i="17"/>
  <c r="S64" i="17"/>
  <c r="R64" i="17"/>
  <c r="Q64" i="17"/>
  <c r="P64" i="17"/>
  <c r="O64" i="17"/>
  <c r="N64" i="17"/>
  <c r="M64" i="17"/>
  <c r="L64" i="17"/>
  <c r="K64" i="17"/>
  <c r="J64" i="17"/>
  <c r="I64" i="17"/>
  <c r="T63" i="17"/>
  <c r="R63" i="17"/>
  <c r="Q63" i="17"/>
  <c r="T62" i="17"/>
  <c r="R62" i="17"/>
  <c r="Q62" i="17"/>
  <c r="T61" i="17"/>
  <c r="R61" i="17"/>
  <c r="Q61" i="17"/>
  <c r="T60" i="17"/>
  <c r="R60" i="17"/>
  <c r="Q60" i="17"/>
  <c r="T59" i="17"/>
  <c r="R59" i="17"/>
  <c r="Q59" i="17"/>
  <c r="T58" i="17"/>
  <c r="R58" i="17"/>
  <c r="Q58" i="17"/>
  <c r="T57" i="17"/>
  <c r="R57" i="17"/>
  <c r="Q57" i="17"/>
  <c r="T56" i="17"/>
  <c r="R56" i="17"/>
  <c r="Q56" i="17"/>
  <c r="T55" i="17"/>
  <c r="R55" i="17"/>
  <c r="Q55" i="17"/>
  <c r="T54" i="17"/>
  <c r="R54" i="17"/>
  <c r="Q54" i="17"/>
  <c r="T53" i="17"/>
  <c r="R53" i="17"/>
  <c r="Q53" i="17"/>
  <c r="T52" i="17"/>
  <c r="R52" i="17"/>
  <c r="Q52" i="17"/>
  <c r="T51" i="17"/>
  <c r="R51" i="17"/>
  <c r="Q51" i="17"/>
  <c r="T50" i="17"/>
  <c r="R50" i="17"/>
  <c r="Q50" i="17"/>
  <c r="T49" i="17"/>
  <c r="R49" i="17"/>
  <c r="Q49" i="17"/>
  <c r="T48" i="17"/>
  <c r="R48" i="17"/>
  <c r="Q48" i="17"/>
  <c r="T47" i="17"/>
  <c r="R47" i="17"/>
  <c r="Q47" i="17"/>
  <c r="L41" i="17"/>
  <c r="K41" i="17"/>
  <c r="J41" i="17"/>
  <c r="I41" i="17"/>
  <c r="H41" i="17"/>
  <c r="G41" i="17"/>
  <c r="A38" i="17"/>
  <c r="K298" i="26"/>
  <c r="J298" i="26"/>
  <c r="I298" i="26"/>
  <c r="K297" i="26"/>
  <c r="K296" i="26"/>
  <c r="K295" i="26"/>
  <c r="K294" i="26"/>
  <c r="K293" i="26"/>
  <c r="K292" i="26"/>
  <c r="J292" i="26"/>
  <c r="I292" i="26"/>
  <c r="K291" i="26"/>
  <c r="K290" i="26"/>
  <c r="K289" i="26"/>
  <c r="K288" i="26"/>
  <c r="K287" i="26"/>
  <c r="H282" i="26"/>
  <c r="G282" i="26"/>
  <c r="G281" i="26"/>
  <c r="G280" i="26"/>
  <c r="G279" i="26"/>
  <c r="G278" i="26"/>
  <c r="G277" i="26"/>
  <c r="A274" i="26"/>
  <c r="G270" i="26"/>
  <c r="F270" i="26"/>
  <c r="E270" i="26"/>
  <c r="D270" i="26"/>
  <c r="C270" i="26"/>
  <c r="G269" i="26"/>
  <c r="F269" i="26"/>
  <c r="E269" i="26"/>
  <c r="D269" i="26"/>
  <c r="C269" i="26"/>
  <c r="G268" i="26"/>
  <c r="F268" i="26"/>
  <c r="E268" i="26"/>
  <c r="D268" i="26"/>
  <c r="C268" i="26"/>
  <c r="G267" i="26"/>
  <c r="F267" i="26"/>
  <c r="E267" i="26"/>
  <c r="D267" i="26"/>
  <c r="C267" i="26"/>
  <c r="G266" i="26"/>
  <c r="F266" i="26"/>
  <c r="E266" i="26"/>
  <c r="D266" i="26"/>
  <c r="C266" i="26"/>
  <c r="G265" i="26"/>
  <c r="F265" i="26"/>
  <c r="E265" i="26"/>
  <c r="D265" i="26"/>
  <c r="C265" i="26"/>
  <c r="C264" i="26"/>
  <c r="D263" i="26"/>
  <c r="C263" i="26"/>
  <c r="D262" i="26"/>
  <c r="C262" i="26"/>
  <c r="C261" i="26"/>
  <c r="G260" i="26"/>
  <c r="F260" i="26"/>
  <c r="E260" i="26"/>
  <c r="D260" i="26"/>
  <c r="C260" i="26"/>
  <c r="C259" i="26"/>
  <c r="D258" i="26"/>
  <c r="C258" i="26"/>
  <c r="D257" i="26"/>
  <c r="C257" i="26"/>
  <c r="G251" i="26"/>
  <c r="F251" i="26"/>
  <c r="E251" i="26"/>
  <c r="D251" i="26"/>
  <c r="C251" i="26"/>
  <c r="D249" i="26"/>
  <c r="C249" i="26"/>
  <c r="D248" i="26"/>
  <c r="C248" i="26"/>
  <c r="D247" i="26"/>
  <c r="C247" i="26"/>
  <c r="G246" i="26"/>
  <c r="F246" i="26"/>
  <c r="E246" i="26"/>
  <c r="D246" i="26"/>
  <c r="C246" i="26"/>
  <c r="G241" i="26"/>
  <c r="F241" i="26"/>
  <c r="E241" i="26"/>
  <c r="D241" i="26"/>
  <c r="C241" i="26"/>
  <c r="G236" i="26"/>
  <c r="F236" i="26"/>
  <c r="E236" i="26"/>
  <c r="D236" i="26"/>
  <c r="C236" i="26"/>
  <c r="C232" i="26"/>
  <c r="H228" i="26"/>
  <c r="H227" i="26"/>
  <c r="H226" i="26"/>
  <c r="L225" i="26"/>
  <c r="K225" i="26"/>
  <c r="J225" i="26"/>
  <c r="I225" i="26"/>
  <c r="H225" i="26"/>
  <c r="L222" i="26"/>
  <c r="K222" i="26"/>
  <c r="J222" i="26"/>
  <c r="I222" i="26"/>
  <c r="H222" i="26"/>
  <c r="H220" i="26"/>
  <c r="D220" i="26"/>
  <c r="L219" i="26"/>
  <c r="K219" i="26"/>
  <c r="J219" i="26"/>
  <c r="I219" i="26"/>
  <c r="H219" i="26"/>
  <c r="L216" i="26"/>
  <c r="K216" i="26"/>
  <c r="J216" i="26"/>
  <c r="I216" i="26"/>
  <c r="H216" i="26"/>
  <c r="H214" i="26"/>
  <c r="L213" i="26"/>
  <c r="K213" i="26"/>
  <c r="J213" i="26"/>
  <c r="I213" i="26"/>
  <c r="H213" i="26"/>
  <c r="E204" i="26"/>
  <c r="I203" i="26"/>
  <c r="H203" i="26"/>
  <c r="G203" i="26"/>
  <c r="F203" i="26"/>
  <c r="E203" i="26"/>
  <c r="I202" i="26"/>
  <c r="H202" i="26"/>
  <c r="G202" i="26"/>
  <c r="F202" i="26"/>
  <c r="E202" i="26"/>
  <c r="I201" i="26"/>
  <c r="H201" i="26"/>
  <c r="G201" i="26"/>
  <c r="F201" i="26"/>
  <c r="E201" i="26"/>
  <c r="I200" i="26"/>
  <c r="H200" i="26"/>
  <c r="G200" i="26"/>
  <c r="F200" i="26"/>
  <c r="E200" i="26"/>
  <c r="I199" i="26"/>
  <c r="H199" i="26"/>
  <c r="G199" i="26"/>
  <c r="F199" i="26"/>
  <c r="E199" i="26"/>
  <c r="H196" i="26"/>
  <c r="H195" i="26"/>
  <c r="H194" i="26"/>
  <c r="L193" i="26"/>
  <c r="K193" i="26"/>
  <c r="J193" i="26"/>
  <c r="I193" i="26"/>
  <c r="H193" i="26"/>
  <c r="L190" i="26"/>
  <c r="K190" i="26"/>
  <c r="J190" i="26"/>
  <c r="I190" i="26"/>
  <c r="H190" i="26"/>
  <c r="H188" i="26"/>
  <c r="L187" i="26"/>
  <c r="K187" i="26"/>
  <c r="J187" i="26"/>
  <c r="I187" i="26"/>
  <c r="H187" i="26"/>
  <c r="H185" i="26"/>
  <c r="L184" i="26"/>
  <c r="K184" i="26"/>
  <c r="J184" i="26"/>
  <c r="I184" i="26"/>
  <c r="H184" i="26"/>
  <c r="H182" i="26"/>
  <c r="L181" i="26"/>
  <c r="K181" i="26"/>
  <c r="J181" i="26"/>
  <c r="I181" i="26"/>
  <c r="H181" i="26"/>
  <c r="G173" i="26"/>
  <c r="K172" i="26"/>
  <c r="J172" i="26"/>
  <c r="I172" i="26"/>
  <c r="H172" i="26"/>
  <c r="G172" i="26"/>
  <c r="K171" i="26"/>
  <c r="J171" i="26"/>
  <c r="I171" i="26"/>
  <c r="H171" i="26"/>
  <c r="G171" i="26"/>
  <c r="K170" i="26"/>
  <c r="J170" i="26"/>
  <c r="I170" i="26"/>
  <c r="H170" i="26"/>
  <c r="G170" i="26"/>
  <c r="K169" i="26"/>
  <c r="J169" i="26"/>
  <c r="I169" i="26"/>
  <c r="H169" i="26"/>
  <c r="G169" i="26"/>
  <c r="K168" i="26"/>
  <c r="J168" i="26"/>
  <c r="I168" i="26"/>
  <c r="H168" i="26"/>
  <c r="G168" i="26"/>
  <c r="A165" i="26"/>
  <c r="O163" i="26"/>
  <c r="N163" i="26"/>
  <c r="M163" i="26"/>
  <c r="L163" i="26"/>
  <c r="K163" i="26"/>
  <c r="J163" i="26"/>
  <c r="O162" i="26"/>
  <c r="N162" i="26"/>
  <c r="M162" i="26"/>
  <c r="L162" i="26"/>
  <c r="K162" i="26"/>
  <c r="J162" i="26"/>
  <c r="O161" i="26"/>
  <c r="N161" i="26"/>
  <c r="M161" i="26"/>
  <c r="L161" i="26"/>
  <c r="K161" i="26"/>
  <c r="J161" i="26"/>
  <c r="O160" i="26"/>
  <c r="N160" i="26"/>
  <c r="M160" i="26"/>
  <c r="L160" i="26"/>
  <c r="K160" i="26"/>
  <c r="J160" i="26"/>
  <c r="O159" i="26"/>
  <c r="N159" i="26"/>
  <c r="M159" i="26"/>
  <c r="L159" i="26"/>
  <c r="K159" i="26"/>
  <c r="J159" i="26"/>
  <c r="O158" i="26"/>
  <c r="N158" i="26"/>
  <c r="M158" i="26"/>
  <c r="L158" i="26"/>
  <c r="K158" i="26"/>
  <c r="J158" i="26"/>
  <c r="L157" i="26"/>
  <c r="L156" i="26"/>
  <c r="L155" i="26"/>
  <c r="O154" i="26"/>
  <c r="L154" i="26"/>
  <c r="O153" i="26"/>
  <c r="N153" i="26"/>
  <c r="M153" i="26"/>
  <c r="L153" i="26"/>
  <c r="K153" i="26"/>
  <c r="J153" i="26"/>
  <c r="L152" i="26"/>
  <c r="O151" i="26"/>
  <c r="L151" i="26"/>
  <c r="O150" i="26"/>
  <c r="L150" i="26"/>
  <c r="O149" i="26"/>
  <c r="L149" i="26"/>
  <c r="O148" i="26"/>
  <c r="N148" i="26"/>
  <c r="M148" i="26"/>
  <c r="L148" i="26"/>
  <c r="K148" i="26"/>
  <c r="J148" i="26"/>
  <c r="L147" i="26"/>
  <c r="O146" i="26"/>
  <c r="L146" i="26"/>
  <c r="O145" i="26"/>
  <c r="L145" i="26"/>
  <c r="O144" i="26"/>
  <c r="L144" i="26"/>
  <c r="O143" i="26"/>
  <c r="N143" i="26"/>
  <c r="M143" i="26"/>
  <c r="L143" i="26"/>
  <c r="K143" i="26"/>
  <c r="J143" i="26"/>
  <c r="L142" i="26"/>
  <c r="O141" i="26"/>
  <c r="L141" i="26"/>
  <c r="O140" i="26"/>
  <c r="L140" i="26"/>
  <c r="O139" i="26"/>
  <c r="L139" i="26"/>
  <c r="L138" i="26"/>
  <c r="K138" i="26"/>
  <c r="J138" i="26"/>
  <c r="L137" i="26"/>
  <c r="L136" i="26"/>
  <c r="L135" i="26"/>
  <c r="L134" i="26"/>
  <c r="H129" i="26"/>
  <c r="G129" i="26"/>
  <c r="H128" i="26"/>
  <c r="G128" i="26"/>
  <c r="H127" i="26"/>
  <c r="G127" i="26"/>
  <c r="H126" i="26"/>
  <c r="G126" i="26"/>
  <c r="H125" i="26"/>
  <c r="G125" i="26"/>
  <c r="A122" i="26"/>
  <c r="E119" i="26"/>
  <c r="D119" i="26"/>
  <c r="E117" i="26"/>
  <c r="E116" i="26"/>
  <c r="D116" i="26"/>
  <c r="E115" i="26"/>
  <c r="E114" i="26"/>
  <c r="D114" i="26"/>
  <c r="E109" i="26"/>
  <c r="D109" i="26"/>
  <c r="E104" i="26"/>
  <c r="D104" i="26"/>
  <c r="E102" i="26"/>
  <c r="D102" i="26"/>
  <c r="E101" i="26"/>
  <c r="D101" i="26"/>
  <c r="E100" i="26"/>
  <c r="D100" i="26"/>
  <c r="E99" i="26"/>
  <c r="D99" i="26"/>
  <c r="E94" i="26"/>
  <c r="D94" i="26"/>
  <c r="E89" i="26"/>
  <c r="D89" i="26"/>
  <c r="E87" i="26"/>
  <c r="D87" i="26"/>
  <c r="E86" i="26"/>
  <c r="D86" i="26"/>
  <c r="E85" i="26"/>
  <c r="D85" i="26"/>
  <c r="E84" i="26"/>
  <c r="D84" i="26"/>
  <c r="E79" i="26"/>
  <c r="D79" i="26"/>
  <c r="E74" i="26"/>
  <c r="D74" i="26"/>
  <c r="E72" i="26"/>
  <c r="D72" i="26"/>
  <c r="E71" i="26"/>
  <c r="D71" i="26"/>
  <c r="E70" i="26"/>
  <c r="D70" i="26"/>
  <c r="E69" i="26"/>
  <c r="D69" i="26"/>
  <c r="D67" i="26"/>
  <c r="E64" i="26"/>
  <c r="D64" i="26"/>
  <c r="D62" i="26"/>
  <c r="D61" i="26"/>
  <c r="D60" i="26"/>
  <c r="D59" i="26"/>
  <c r="D56" i="26"/>
  <c r="D55" i="26"/>
  <c r="D54" i="26"/>
  <c r="D49" i="26"/>
  <c r="D46" i="26"/>
  <c r="A40" i="26"/>
  <c r="A95" i="24"/>
  <c r="A91" i="24"/>
  <c r="A87" i="24"/>
  <c r="K84" i="24"/>
  <c r="K83" i="24"/>
  <c r="K82" i="24"/>
  <c r="K81" i="24"/>
  <c r="K80" i="24"/>
  <c r="K79" i="24"/>
  <c r="K78" i="24"/>
  <c r="J78" i="24"/>
  <c r="I78" i="24"/>
  <c r="K77" i="24"/>
  <c r="K76" i="24"/>
  <c r="K75" i="24"/>
  <c r="J75" i="24"/>
  <c r="I75" i="24"/>
  <c r="K74" i="24"/>
  <c r="K73" i="24"/>
  <c r="K72" i="24"/>
  <c r="K71" i="24"/>
  <c r="K66" i="24"/>
  <c r="J66" i="24"/>
  <c r="H66" i="24"/>
  <c r="A63" i="24"/>
  <c r="L61" i="24"/>
  <c r="L60" i="24"/>
  <c r="L59" i="24"/>
  <c r="L58" i="24"/>
  <c r="L56" i="24"/>
  <c r="L55" i="24"/>
  <c r="L54" i="24"/>
  <c r="M49" i="24"/>
  <c r="L49" i="24"/>
  <c r="K49" i="24"/>
  <c r="J49" i="24"/>
  <c r="A46" i="24"/>
  <c r="K44" i="24"/>
  <c r="K43" i="24"/>
  <c r="K42" i="24"/>
  <c r="K41" i="24"/>
  <c r="K40" i="24"/>
  <c r="K39" i="24"/>
  <c r="J34" i="24"/>
  <c r="A31" i="24"/>
  <c r="E15" i="129"/>
  <c r="E14" i="129"/>
  <c r="E13" i="129"/>
  <c r="B8" i="129"/>
  <c r="D15" i="128"/>
  <c r="D14" i="128"/>
  <c r="D13" i="128"/>
  <c r="D12" i="128"/>
  <c r="D9" i="128"/>
  <c r="B9" i="128"/>
  <c r="D8" i="128"/>
  <c r="B8" i="128"/>
  <c r="D7" i="128"/>
  <c r="D6" i="128"/>
  <c r="G46" i="2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Ana Lucia Velez Montoya</author>
  </authors>
  <commentList>
    <comment ref="J237" authorId="0" shapeId="0" xr:uid="{00000000-0006-0000-1E00-000001000000}">
      <text>
        <r>
          <rPr>
            <b/>
            <sz val="9"/>
            <color indexed="81"/>
            <rFont val="Tahoma"/>
            <family val="2"/>
          </rPr>
          <t>Ana Lucia Velez Montoya:</t>
        </r>
        <r>
          <rPr>
            <sz val="9"/>
            <color indexed="81"/>
            <rFont val="Tahoma"/>
            <family val="2"/>
          </rPr>
          <t xml:space="preserve">
Vigentes:301
80% de las vigentes: 240</t>
        </r>
      </text>
    </comment>
    <comment ref="J238" authorId="0" shapeId="0" xr:uid="{00000000-0006-0000-1E00-000002000000}">
      <text>
        <r>
          <rPr>
            <b/>
            <sz val="9"/>
            <color indexed="81"/>
            <rFont val="Tahoma"/>
            <family val="2"/>
          </rPr>
          <t>Ana Lucia Velez Montoya:</t>
        </r>
        <r>
          <rPr>
            <sz val="9"/>
            <color indexed="81"/>
            <rFont val="Tahoma"/>
            <family val="2"/>
          </rPr>
          <t xml:space="preserve">
Vigentes:301
80% de las vigentes: 75</t>
        </r>
      </text>
    </comment>
    <comment ref="J257" authorId="0" shapeId="0" xr:uid="{00000000-0006-0000-1E00-000003000000}">
      <text>
        <r>
          <rPr>
            <b/>
            <sz val="9"/>
            <color indexed="81"/>
            <rFont val="Tahoma"/>
            <family val="2"/>
          </rPr>
          <t>Ana Lucia Velez Montoya:</t>
        </r>
        <r>
          <rPr>
            <sz val="9"/>
            <color indexed="81"/>
            <rFont val="Tahoma"/>
            <family val="2"/>
          </rPr>
          <t xml:space="preserve">
Vigentes: 205
80% de las vigentes: 164</t>
        </r>
      </text>
    </comment>
    <comment ref="J258" authorId="0" shapeId="0" xr:uid="{00000000-0006-0000-1E00-000004000000}">
      <text>
        <r>
          <rPr>
            <b/>
            <sz val="9"/>
            <color indexed="81"/>
            <rFont val="Tahoma"/>
            <family val="2"/>
          </rPr>
          <t>Ana Lucia Velez Montoya:</t>
        </r>
        <r>
          <rPr>
            <sz val="9"/>
            <color indexed="81"/>
            <rFont val="Tahoma"/>
            <family val="2"/>
          </rPr>
          <t xml:space="preserve">
Vigentes:205
25% de las vigentes: 51</t>
        </r>
      </text>
    </comment>
    <comment ref="J277" authorId="0" shapeId="0" xr:uid="{00000000-0006-0000-1E00-000005000000}">
      <text>
        <r>
          <rPr>
            <b/>
            <sz val="9"/>
            <color indexed="81"/>
            <rFont val="Tahoma"/>
            <family val="2"/>
          </rPr>
          <t>Ana Lucia Velez Montoya:</t>
        </r>
        <r>
          <rPr>
            <sz val="9"/>
            <color indexed="81"/>
            <rFont val="Tahoma"/>
            <family val="2"/>
          </rPr>
          <t xml:space="preserve">
Vigentes:216.
80% de las vigentes: 173</t>
        </r>
      </text>
    </comment>
    <comment ref="J278" authorId="0" shapeId="0" xr:uid="{00000000-0006-0000-1E00-000006000000}">
      <text>
        <r>
          <rPr>
            <b/>
            <sz val="9"/>
            <color indexed="81"/>
            <rFont val="Tahoma"/>
            <family val="2"/>
          </rPr>
          <t>Ana Lucia Velez Montoya:</t>
        </r>
        <r>
          <rPr>
            <sz val="9"/>
            <color indexed="81"/>
            <rFont val="Tahoma"/>
            <family val="2"/>
          </rPr>
          <t xml:space="preserve">
Vigentes:216.
80% de las vigentes: 173</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John Jaime Miranda</author>
  </authors>
  <commentList>
    <comment ref="K25" authorId="0" shapeId="0" xr:uid="{00978E6E-0B69-4066-8E8B-FDA4C25827D5}">
      <text>
        <r>
          <rPr>
            <b/>
            <sz val="9"/>
            <color indexed="81"/>
            <rFont val="Tahoma"/>
            <family val="2"/>
          </rPr>
          <t>100% de la Meta definida por el MADS para la vigencia</t>
        </r>
        <r>
          <rPr>
            <sz val="9"/>
            <color indexed="81"/>
            <rFont val="Tahoma"/>
            <family val="2"/>
          </rPr>
          <t xml:space="preserve">
</t>
        </r>
      </text>
    </comment>
  </commentList>
</comments>
</file>

<file path=xl/sharedStrings.xml><?xml version="1.0" encoding="utf-8"?>
<sst xmlns="http://schemas.openxmlformats.org/spreadsheetml/2006/main" count="5205" uniqueCount="1224">
  <si>
    <t>OBJETIVO DEL PROCESO</t>
  </si>
  <si>
    <t>NOMBRE DEL INDICADOR</t>
  </si>
  <si>
    <t xml:space="preserve">FORMULA </t>
  </si>
  <si>
    <t>INTERPRETACION</t>
  </si>
  <si>
    <t>FRECUENCIA</t>
  </si>
  <si>
    <t>META</t>
  </si>
  <si>
    <t>RESPONSABLE</t>
  </si>
  <si>
    <t>OBJETIVO ASOCIADO</t>
  </si>
  <si>
    <t>INDICADORES DE GESTION</t>
  </si>
  <si>
    <t>PROCESO</t>
  </si>
  <si>
    <t>% Cumplimiento</t>
  </si>
  <si>
    <t>Procesos Categoría Estrategícos</t>
  </si>
  <si>
    <t>Procesos Categoría Misionales</t>
  </si>
  <si>
    <t>Procesos Categoría Apoyo</t>
  </si>
  <si>
    <t>FICHA DE INDICADORES</t>
  </si>
  <si>
    <t>Matriz de Indicadores</t>
  </si>
  <si>
    <t>R-MJ-16</t>
  </si>
  <si>
    <t>Procesos Categoría Evaluativos</t>
  </si>
  <si>
    <t>PROCESO DI: DIRECCIONAMIENTO DEL SISTEMA DE GESTIÓN CORPORATIVO</t>
  </si>
  <si>
    <t>PROCESO MJ: MEJORAMIENTO DEL SISTEMA DE GESTIÓN CORPORATIVO</t>
  </si>
  <si>
    <t>PROCESO AA: APLICACIÓN DE LA AUTORIDAD AMBIENTAL</t>
  </si>
  <si>
    <t>PROCESO PG: PLANEACIÓN GLOBAL DEL TERRITORIO</t>
  </si>
  <si>
    <t>PROCESO GP: GESTIÓN DE PROYECTOS</t>
  </si>
  <si>
    <t>PROCESO TH: GESTIÓN DEL TALENTO HUMANO</t>
  </si>
  <si>
    <t>PROCESO RI: GESTIÓN DE RECURSOS E INFRAESTRUCTURA</t>
  </si>
  <si>
    <t>PROCESO FC: GESTIÓN FINANCIERA Y CONTABLE</t>
  </si>
  <si>
    <t>CATEGORÍA DEL INDICADOR</t>
  </si>
  <si>
    <t>PROCESO LABORATORIO DE ANÁLISIS DE AGUAS</t>
  </si>
  <si>
    <t>Vigencia:</t>
  </si>
  <si>
    <t>Tabla de Control</t>
  </si>
  <si>
    <t>TABLA DE CONTROL INDICADORES SISTEMA DE GESTIÓN CORPORATIVO</t>
  </si>
  <si>
    <t xml:space="preserve">Tipo </t>
  </si>
  <si>
    <t>Definición</t>
  </si>
  <si>
    <r>
      <t xml:space="preserve">TIPO DE INDICADOR
</t>
    </r>
    <r>
      <rPr>
        <sz val="10"/>
        <color theme="1"/>
        <rFont val="Verdana"/>
        <family val="2"/>
      </rPr>
      <t>(Favor registre si es de meta máxima, meta mínima o de máximo y minimo)</t>
    </r>
  </si>
  <si>
    <t>De Meta Mínima</t>
  </si>
  <si>
    <t>De Meta Máxima</t>
  </si>
  <si>
    <t>De Máximo y Mínimo</t>
  </si>
  <si>
    <t>Cuando los datos del indicador no deben superar el valor de la meta.</t>
  </si>
  <si>
    <t>Cuando los datos del indicador no deben ser inferiores al valor de la meta.</t>
  </si>
  <si>
    <t>Cuando los datos se deben mantener dentro de un rango, no siendo inferior a un valor o superior a otro.</t>
  </si>
  <si>
    <t>Decreciente</t>
  </si>
  <si>
    <t>Creciente</t>
  </si>
  <si>
    <t>Dentro de un Rango</t>
  </si>
  <si>
    <t>Tendencia Adecuada del Indicador</t>
  </si>
  <si>
    <t>Satisfactoria</t>
  </si>
  <si>
    <t>Moderada</t>
  </si>
  <si>
    <t>Insatisfactoria</t>
  </si>
  <si>
    <t>Posible Resultado</t>
  </si>
  <si>
    <t>Análisis de Resultados y Formulación de Acciones</t>
  </si>
  <si>
    <r>
      <t xml:space="preserve">NIVEL DE CUMPLIMIENTO
</t>
    </r>
    <r>
      <rPr>
        <sz val="10"/>
        <color theme="1"/>
        <rFont val="Verdana"/>
        <family val="2"/>
      </rPr>
      <t>(Favor registre los valores del indicador correspondientes a los posibles resultados)</t>
    </r>
  </si>
  <si>
    <t>Se declara una OPORTUNIDAD DE MEJORAMIENTO, frente a la cual se pueden formular Acciones Preventivas para evitar el incumplimiento de las metas en los próximos periodos.</t>
  </si>
  <si>
    <t>Se declara una NO CONFORMIDAD, frente a la cual se formulan Correciones y Acciones correctivas.</t>
  </si>
  <si>
    <t>Se podrá mantener o establecer una meta mas exigente e/o incluir acciones realizadas para el logro de las metas de los indicadores dentro  de los documentos del Sistema de Gestión Corporativo.</t>
  </si>
  <si>
    <t>Efectividad</t>
  </si>
  <si>
    <t>PORCENTAJE (%) DE CUMPLIMIENTO DE LA POLÍTICA DE CALIDAD.</t>
  </si>
  <si>
    <t>Semestral</t>
  </si>
  <si>
    <t>95% o mas</t>
  </si>
  <si>
    <t>95% o más</t>
  </si>
  <si>
    <t xml:space="preserve">Director General y/o Representante de la Dirección </t>
  </si>
  <si>
    <t>Calidad del Servicio</t>
  </si>
  <si>
    <t>De 70% a 94.9%</t>
  </si>
  <si>
    <t>Menos de 70%</t>
  </si>
  <si>
    <t>PORCENTAJE (%) DE ENCUESTAS DE SATISFACCIÓN DE LA GESTIÓN CORPORATIVA CALIFICADAS POR LOS USUARIOS DE LA CORPORACIÓN CON UNA NOTA SUPERIOR O IGUAL A TRES PUNTO CINCO (3.5) SOBRE CINCO (5.0).</t>
  </si>
  <si>
    <t>Anual</t>
  </si>
  <si>
    <t>90% o mas</t>
  </si>
  <si>
    <t>90% o más</t>
  </si>
  <si>
    <t>De 70% a 89.9%</t>
  </si>
  <si>
    <t>Eficacia</t>
  </si>
  <si>
    <t>PORCENTAJE (%) DE CAPACIDAD DE CONVOCATORIA A LAS AUDIENCIAS PUBLICAS.</t>
  </si>
  <si>
    <t>60% o mas</t>
  </si>
  <si>
    <t>60% o más</t>
  </si>
  <si>
    <t>Menos de 50%</t>
  </si>
  <si>
    <t>80% o mas</t>
  </si>
  <si>
    <t>80% o más</t>
  </si>
  <si>
    <t>80% o más.</t>
  </si>
  <si>
    <t>Menos de 60%.</t>
  </si>
  <si>
    <t>Meta</t>
  </si>
  <si>
    <t>AÑO</t>
  </si>
  <si>
    <t>ANALISIS DE RESULTADOS</t>
  </si>
  <si>
    <t>ACCIONES</t>
  </si>
  <si>
    <t>Urrao</t>
  </si>
  <si>
    <t>Total</t>
  </si>
  <si>
    <t>Julio</t>
  </si>
  <si>
    <t>Agosto</t>
  </si>
  <si>
    <t>Septiembre</t>
  </si>
  <si>
    <t>Noviembre</t>
  </si>
  <si>
    <t>Mes</t>
  </si>
  <si>
    <t>Enero</t>
  </si>
  <si>
    <t>Febrero</t>
  </si>
  <si>
    <t>Marzo</t>
  </si>
  <si>
    <t>Abril</t>
  </si>
  <si>
    <t>Mayo</t>
  </si>
  <si>
    <t>Junio</t>
  </si>
  <si>
    <t>Octubre</t>
  </si>
  <si>
    <t>Diciembre</t>
  </si>
  <si>
    <t>Resultado</t>
  </si>
  <si>
    <t>PORCENTAJE (%) DE ACCIONES CORRECTIVAS ESTABLECIDAS EFICAZMENTE.</t>
  </si>
  <si>
    <r>
      <t xml:space="preserve">Lider del Proceso </t>
    </r>
    <r>
      <rPr>
        <sz val="8"/>
        <color theme="1"/>
        <rFont val="Verdana"/>
        <family val="2"/>
      </rPr>
      <t>(Subdirector de Planeación y Ordenamiento Territorial con el apoyo de Equipo de Trabajo)</t>
    </r>
  </si>
  <si>
    <t>Mejora Continua</t>
  </si>
  <si>
    <t>PORCENTAJE (%) DE ACCIONES PREVENTIVAS ESTABLECIDAS EFICAZMENTE.</t>
  </si>
  <si>
    <t>PORCENTAJE (%) DE ACCIONES DE MEJORA ESTABLECIDAS EFICAZMENTE.</t>
  </si>
  <si>
    <t>PORCENTAJE (%) DE CUMPLIMIENTO DEL MANUAL 3.1 PARA LA IMPLEMENTACIÓN DE LA ESTRATEGIA GEL.</t>
  </si>
  <si>
    <t>Regionales</t>
  </si>
  <si>
    <t>85% o más</t>
  </si>
  <si>
    <t>Menos de 80%</t>
  </si>
  <si>
    <t>PORCENTAJE (%) DE METAS FÍSICAS ANUALES DE PLANES AMBIENTALES CORPORATIVOS CUMPLIDAS.</t>
  </si>
  <si>
    <t>PORCENTAJE (%) DE AUTOEVALUACIONES DE LA GESTIÓN DE CORPOURABA EN LA PLANEACIÓN GLOBAL DEL TERRITORIO DE LOS MUNICIPIOS DE LA JURISDICCIÓN CON UN RESULTADO IGUAL O SUPERIOR AL 90%.</t>
  </si>
  <si>
    <t>De 80% a 99.9%</t>
  </si>
  <si>
    <t>PORCENTAJE (%) DE MUNICIPIOS CON SEGUIMIENTO AL COMPONENTE AMBIENTAL EN LOS POT´S.</t>
  </si>
  <si>
    <t>Ejecutar el Plan de Acción Corporativo con la formulación, ejecución, seguimiento y evaluación de proyectos para cumplir las directrices establecidas en el ordenamiento ambiental de la jurisdicción y contribuir a su desarrollo sostenible y mejoramiento de la calidad de vida de la población.</t>
  </si>
  <si>
    <t>Eficiencia</t>
  </si>
  <si>
    <t>PORCENTAJE (%) DE PROYECTOS EVALUADOS PARA SU VIABILIZACIÓN EN UN TIEMPO IGUAL O INFERIOR A LO REGLAMENTADO EN EL SGC.</t>
  </si>
  <si>
    <t>(N° de proyectos evaluados para su viabilización en un tiempo igual o inferior a lo reglamentado en el SGC / N° de proyectos evaluados para su viabilización)*100.</t>
  </si>
  <si>
    <t xml:space="preserve">Mide el porcentaje de proyectos viabilizados en un tiempo igual o inferior a lo reglamentado en el SGC. </t>
  </si>
  <si>
    <t>PORCENTAJE (%)  DE ENCUESTA DE SATISFACCIÓN CALIFICADAS POR LOS USUARIOS DE PROYECTOS CON UNA NOTA SUPERIOR O IGUAL A TRES PUNTO CINCO (3.5) SOBRE CINCO (5.0).</t>
  </si>
  <si>
    <t>(N° de encuestas de satisfacción calificadas por los Usuarios de proyectos  con una nota superior o igual a  tres punto cinco (3.5) sobre cinco (5.0) / N° de encuestas de satisfacción calificadas por los Usuarios de proyectos)*100.</t>
  </si>
  <si>
    <t>Mide el nivel de satisfacción de los Usuarios por los proyectos ejecutados.</t>
  </si>
  <si>
    <t>De 80% a 94,9%</t>
  </si>
  <si>
    <t>PORCENTAJE (%)  DE ACCIONES CORRECTIVAS DE SERVICIOS NO CONFORMES ESTABLECIDAS  EFICAZMENTE.</t>
  </si>
  <si>
    <t>(N° de acciones correctivas de servicios no conformes establecidas eficazmente / N° de acciones correctivas de servicios no conformes establecidas) *100.</t>
  </si>
  <si>
    <t>Mide el porcentaje de acciones correctivas establecidas para servicios no conformes que tuvieron  la  capacidad de alcanzar el efecto que se esperaba o deseaba tras la realización de la misma.</t>
  </si>
  <si>
    <t>De 70% a 89,9%</t>
  </si>
  <si>
    <t>PORCENTAJE (%) DE PROYECTOS CON SEGUIMIENTO FÍSICO Y FINANCIERO</t>
  </si>
  <si>
    <t>Porcentaje (%) de Proyectos Evaluados para su Viabilización en un Tiempo Igual o Inferior a lo Reglamentado en el SGC.</t>
  </si>
  <si>
    <t>N° de proyectos evaluados para su viabilización en un tiempo igual o inferior a lo reglamentado en el SGC.</t>
  </si>
  <si>
    <t>N° de proyectos evaluados para su viabilización.</t>
  </si>
  <si>
    <t>%  de proyectos evaluados para su viabilización en un tiempo igual o inferior a lo reglamentado en el SGC.</t>
  </si>
  <si>
    <t xml:space="preserve">• Los proyectos que superaron el tiempo para la evaluación son:
 -“Establecimiento de cinco viveros escolares con fines de reforestación en la región de Urabá” en 4 días.
 -“Aislamiento y reforestación de plantación protectora en las zonas de influencia de las cuencas hidrográficas en la parte media y baja del río San Juan y Damaquiel” en 21 días.
Para la vigencia 2013 se realizaran capacitaciones de refuerzo tanto en la formulación como en la modificación de proyectos, incluyendo la importancia de cumplimiento de terminos y el conducto regular establecido en los procedimientos; adicionalmente se continuará con la implementación del módulo de Gestión de Proyectos del aplicativo CITA, que permitirá tener controles al respecto.
</t>
  </si>
  <si>
    <t>Porcentaje (%) de Encuesta de Satisfacción Calificadas por los Usuarios de Proyectos con una Nota Superior o Igual a Tres Punto Cinco (3.5) sobre Cinco (5.0)</t>
  </si>
  <si>
    <t>Nombre de Proyecto</t>
  </si>
  <si>
    <t>N° de encuestas de satisfacción calificadas por los Usuarios de proyectos con una nota superior o igual a  tres punto cinco (3.5) sobre cinco (5.0).</t>
  </si>
  <si>
    <t xml:space="preserve">N° de encuestas de satisfacción calificadas por los Usuarios de proyectos </t>
  </si>
  <si>
    <t>%  de encuesta de satisfacción calificadas por los Usuarios de proyectos con una nota superior o igual a tres punto cinco (3.5) sobre cinco (5.0).</t>
  </si>
  <si>
    <t xml:space="preserve">Desarrollo de estrategias de conservación de ecosistemas de especial importancia ambiental: 21/23=91,3%
Implementación de los planes de manejo de los páramos de la jurisdicción: 10/10=100,0%
Fomentar el manejo de bosques con comunidades rurales con énfasis en especies promisorias a nivel forestal: 6/7=85,7%
Mantenimiento de plantaciones forestales. 2/2=100,0%
Formación de promotores ambientales – gestión del riesgo: 6/6=100,0%
Implementación PAAEME - obras de mitigación contra la erosión e inundación en el barrio primero de Mayo en el municipio de Apartadó y el corregimiento el Tres municipio de Turbo: 16/29=55,2%
Fomento al mantenimiento de hectáreas con coberturas forestales protectora: 15/16=93,75%
Declaración de áreas de reserva y articuladas en el marco de SIDAP: 19/19=100%
Obras de mitigación para el control de inundaciones y socavación lateral en el corregimiento de Currulao y San José de Apartadó: 19/20=95%
Saneamiento ambiental rural: 36/37=97%
Fomento al establecimiento de hectáreas con coberturas forestales productora – TSE: 8/8=100%
</t>
  </si>
  <si>
    <t xml:space="preserve">Ordenación de Cuencas: 19/22=86,4%
Seguimiento a los Planes de Acción de los Convenios de Producción Limpia Existentes (Café, Plátano, Banano, Panela): 10/10=100,0%
Fomento al Establecimiento de Hectáreas en Coberturas Forestales Protectora – Productora: 15/15=100%
Implementación de los Planes de Manejo de los Páramos de la Jurisdicción: 12/13=92,3%
Implementación PAAME: 17/17=100%
Fomento al Mantenimiento de Hectáreas con Coberturas Forestales Protectoras: 11/11=100%
Fomento al Establecimiento de Hectáreas con Coberturas Forestales Productora – TSE: 6/ 6=100%
Formación de Promotores Socioambientales: 4/4=100%
Retiro de Empalizadas en las Cuencas de los Ríos de la Jurisdicción de CORPOURABA: 24/ 24=100%
Fomentar el Manejo de Bosques con Comunidades Rurales con Énfasis en Especies Promisorias a Nivel Forestal: 14/14=100%
</t>
  </si>
  <si>
    <t>Porcentaje (%) de Acciones Correctivas de Servicios No Conformes Establecidas Eficazmente</t>
  </si>
  <si>
    <t>N° de acciones correctivas de servicios no conformes establecidas eficazmente.</t>
  </si>
  <si>
    <t>N° de acciones correctivas de servicios no conformes establecidas.</t>
  </si>
  <si>
    <t>%  de acciones correctivas de servicios no conformes establecidas eficazmente.</t>
  </si>
  <si>
    <t>Por medio del Acta Nº300-01-04-18-0206 del 9 de octubre de 2012, se establecieron las siguientes acciones correctivas:
1. Una circular donde se socializa los tiempos para la evaluación de proyectos. Se cumplió a través de la circular Nº 300-05-01-01-0040-2012.
2. Capacitación procedimiento gestión de proyectos y aplicativo proyectos - CITA. Se cumplió en el mes de diciembre.
3. Implementación Aplicativo Gestión de Proyectos. Validada la información de proyectos en el Aplicativo CITA.</t>
  </si>
  <si>
    <t>En la vigencia 2013,  no hubo trabajo no conforme y por tanto no se generaron acciones correctivas.</t>
  </si>
  <si>
    <t>Semestre I</t>
  </si>
  <si>
    <t>Semestre II</t>
  </si>
  <si>
    <t>Administrar el uso y manejo de los recursos naturales en el marco del ordenamiento ambiental para el mantenimiento y/o mejoramiento de los bienes y servicios ambientales de la jurisdicción.</t>
  </si>
  <si>
    <t>PORCENTAJE DE REDUCCIÓN CARGA CONTAMINANTE PARÁMETROS DBO5</t>
  </si>
  <si>
    <t>(Carga contaminante DBO5 vigencia línea base - Carga contaminante DBO5 vigencia actual  / Carga contaminante DBO5 vigencia línea base) x 100</t>
  </si>
  <si>
    <r>
      <t>Mide el porcentaje  del  nivel de descontaminación de las fuente receptoras de vertimientos respecto a la carga contaminante DBO</t>
    </r>
    <r>
      <rPr>
        <vertAlign val="subscript"/>
        <sz val="11"/>
        <rFont val="Verdana"/>
        <family val="2"/>
      </rPr>
      <t>5</t>
    </r>
  </si>
  <si>
    <t>1% o más</t>
  </si>
  <si>
    <t>1,0% o más</t>
  </si>
  <si>
    <r>
      <t xml:space="preserve">Lider del Proceso </t>
    </r>
    <r>
      <rPr>
        <sz val="8"/>
        <color theme="1"/>
        <rFont val="Verdana"/>
        <family val="2"/>
      </rPr>
      <t>(Subdirector de Gestión y Administración Ambiental con el apoyo de Equipo de Trabajo)</t>
    </r>
  </si>
  <si>
    <t>Entre 0% a 0,99%</t>
  </si>
  <si>
    <t>Menos de 0%</t>
  </si>
  <si>
    <t>PORCENTAJE DE REDUCCIÓN DE CARGA CONTAMINANTE PARÁMETROS SST.</t>
  </si>
  <si>
    <t>(Carga contaminante SST vigencia línea base - Carga contaminante SST vigencia actual  / Carga contaminante SST vigencia línea base) x 100</t>
  </si>
  <si>
    <t>Mide el porcentaje  del  nivel de descontaminación de las fuente receptoras de vertimientos respecto a la carga contaminante SST</t>
  </si>
  <si>
    <t>PORCENTAJE (%) DE BOSQUES CON UN VOLUMEN DE APROVECHAMIENTO PERMISIONADO MENOR O IGUAL AL PERMISIONABLE.</t>
  </si>
  <si>
    <t>(N° de bosques con volumen de aprovechamiento permisionado menor o igual al permisionable / N° de bosques con volumen de aprovechamiento permisionado)*100.</t>
  </si>
  <si>
    <t>Mide el porcentaje de bosques con un volumen de aprovechamiento permisionado menor o igual al permisionable.</t>
  </si>
  <si>
    <t xml:space="preserve">PORCENTAJE (%) DE TRÁMITES RESUELTOS EN UN TIEMPO IGUAL O INFERIOR A LO REGLAMENTADO EN EL SGC.
*LICENCIAS AMBIENTALES (115 DÍAS HÁBILES).
*CONCESIONES DE AGUAS SUBTERRÁNEAS Y SUPERFICIALES (55 DÍAS HÁBILES).
*PERMISOS DE VERTIMIENTOS (55 DÍAS HÁBILES). 
*APROVECHAMIENTOS FORESTALES (55 DÍAS HÁBILES).
</t>
  </si>
  <si>
    <t>(N° de trámites resueltos en un tiempo igual o inferior a lo reglamentado en el SGC / N° de trámites resueltos)*100.</t>
  </si>
  <si>
    <t xml:space="preserve">Mide el porcentaje de trámites resueltos en un tiempo igual o inferior a lo reglamentado en el SGC.
</t>
  </si>
  <si>
    <t>De 50% a 79.9%</t>
  </si>
  <si>
    <t>Menos de 50%.</t>
  </si>
  <si>
    <t>PORCENTAJE (%) DE SEGUIMIENTO DE AUTORIZACIONES VIGENTES DE ACUERDO AL PROCEDIMIENTO  "P-AA-07: SEGUIMIENTO Y CONTROL A TRÁMITES AMBIENTALES".</t>
  </si>
  <si>
    <t>(N° de seguimiento de autorizaciones vigentes de acuerdo al procedimiento "P-AA-07: SEGUIMIENTO Y CONTROL A TRÁMITES AMBIENTALES"   / N° de autorizaciones otorgadas vigentes)*100.</t>
  </si>
  <si>
    <t>Mide el porcentaje  de seguimiento de autorizaciones vigentes de acuerdo al procedimiento  "P-AA-07: SEGUIMIENTO Y CONTROL A TRÁMITES AMBIENTALES".</t>
  </si>
  <si>
    <t>PORCENTAJE (%) DE ENCUESTA DE SATISFACCIÓN CALIFICADAS POR LOS USUARIOS DE TRÁMITES AMBIENTALES RESUELTOS CON UNA NOTA SUPERIOR O IGUAL A  TRES PUNTO CINCO (3.5) SOBRE CINCO (5.0).</t>
  </si>
  <si>
    <t>N° DE EVENTOS DE CAPACITACIÓN Y/O REINDUCCIÓN A LOS FUNCIONARIOS EN NORMAS, PROCEDIMIENTOS Y SOFTWARE CITA.</t>
  </si>
  <si>
    <t>N° de eventos  de capacitación y/o reinducción a los funcionarios en normas, procedimientos y/o  software CITA.</t>
  </si>
  <si>
    <r>
      <t>Mide el número de eventos de capacitación y/o reinducción a los funcionarios en normas, procedimientos y/o  software CITA, con el fin de contribuir en la minimización o anulación de una posible</t>
    </r>
    <r>
      <rPr>
        <i/>
        <sz val="11"/>
        <color theme="1"/>
        <rFont val="Verdana"/>
        <family val="2"/>
      </rPr>
      <t xml:space="preserve"> "poca efectividad en la aplicación dela autoridad ambiental en la jurisdicción"</t>
    </r>
    <r>
      <rPr>
        <sz val="11"/>
        <color theme="1"/>
        <rFont val="Verdana"/>
        <family val="2"/>
      </rPr>
      <t>.</t>
    </r>
  </si>
  <si>
    <t>3 eventos de capacitación</t>
  </si>
  <si>
    <t>3 o mas capacitaciones.</t>
  </si>
  <si>
    <t>Talento Humano Competente</t>
  </si>
  <si>
    <t>2 capacitaciones.</t>
  </si>
  <si>
    <t>1 Capacitación.</t>
  </si>
  <si>
    <t>N° DE INFORMES DE SEGUIMIENTO AL CUMPLIMIENTO DE LA APLICACIÓN DE LA AUTORIDAD AMBIENTAL.</t>
  </si>
  <si>
    <t>N° de informes de seguimiento al cumplimiento de la aplicación de la autoridad ambiental.</t>
  </si>
  <si>
    <r>
      <t xml:space="preserve">Mide el número de informes de seguimiento al cumplimiento de la aplicación de la autoridad ambiental, , con el fin de contribuir en la minimización o anulación de una posible </t>
    </r>
    <r>
      <rPr>
        <i/>
        <sz val="11"/>
        <color theme="1"/>
        <rFont val="Verdana"/>
        <family val="2"/>
      </rPr>
      <t>"poca efectividad en la aplicación dela autoridad ambiental en la jurisdicción".</t>
    </r>
  </si>
  <si>
    <t>2 informes de seguimiento</t>
  </si>
  <si>
    <t>2 informes de seguimiento.</t>
  </si>
  <si>
    <t>1 informes de seguimiento.</t>
  </si>
  <si>
    <t>0 seguimientos.</t>
  </si>
  <si>
    <t>Porcentaje (%) de Reducción de Carga Contaminante Parámetros DBO5</t>
  </si>
  <si>
    <t>Cuenca</t>
  </si>
  <si>
    <t>Cargas Contaminantes</t>
  </si>
  <si>
    <t>Meta de Reducción 2014</t>
  </si>
  <si>
    <t>Carga Esperada 2014</t>
  </si>
  <si>
    <t>Carga Contaminante Real 2014</t>
  </si>
  <si>
    <t>Porcentaje (%) de Reducción Carga Contaminante Parámetro DBO5</t>
  </si>
  <si>
    <t>Código</t>
  </si>
  <si>
    <t>Nombre</t>
  </si>
  <si>
    <t>Porcentaje (%) de Reducción de Carga Contaminante Parámetros SST</t>
  </si>
  <si>
    <t>Porcentaje (%) de Reducción Carga Contaminante Parámetro SST</t>
  </si>
  <si>
    <t>Porcentaje (%) de Bosques con un Volumen de Aprovechamiento Permisionado Menor o Igual al Permisionable</t>
  </si>
  <si>
    <t>N° de bosques con un volumen de aprovechamiento permisionado menor o igual al permisionable.</t>
  </si>
  <si>
    <t>N° de bosques con aprovechamiento permisionado.</t>
  </si>
  <si>
    <t>Porcentaje (%) de bosques con un volumen de aprovechamiento permisionado menor o igual al permisionable.</t>
  </si>
  <si>
    <t>Continuar el seguimiento de que el volumen permisionado en las zonas ordenadas sea menor o igual al permisionable.</t>
  </si>
  <si>
    <t>Porcentaje (%) de Trámites Resueltos en un Tiempo Igual o Inferior a lo Reglamentado en el SGC</t>
  </si>
  <si>
    <t>Tipo de Trámite</t>
  </si>
  <si>
    <t>N° de Trámites Resueltos en un Tiempo Igual o Inferior a lo Reglamentado en el SGC</t>
  </si>
  <si>
    <t>N° de Trámites Resueltos</t>
  </si>
  <si>
    <t>%  de Trámites Resueltos en un Tiempo Igual o Inferior a lo Reglamentado en el SGC</t>
  </si>
  <si>
    <t>Licencia Ambiental</t>
  </si>
  <si>
    <t>Se debe fortalecer el trabajo en el cumpimiento de tiempos en concesiones de aguas subterráneas y superficiales.</t>
  </si>
  <si>
    <t>Concesiones de Aguas Subterráneas y Superficiales</t>
  </si>
  <si>
    <t>Permisos de Vertimientos</t>
  </si>
  <si>
    <t xml:space="preserve"> Aprovechamientos Forestales</t>
  </si>
  <si>
    <t>No obstante no haber cumplida la meta, se mejora el resultado frente al año 2010; se debe continuar con el seguimiento y control de tiempos.</t>
  </si>
  <si>
    <t xml:space="preserve"> Concesiones de Aguas Subterráneas y Superficiales</t>
  </si>
  <si>
    <t>Se debe revisar y/o replantear las acciones de control y seguimiento para el cumplimiento de los términos de trámites ambientales, incluyendo las establecidas en los servicios no conformes; y de esta forma cumplir la meta del indicador.</t>
  </si>
  <si>
    <t>Se estan realizando controles mensuales tanto de cumplimientos como de expedientes proximos a vencerse. Se requiere mayor monitoreo.  Los datos se calculan a 30 de diciembre de 2013.  Se proyecta realizar modificacion en el procedimiento, se eliminarán procesos de revisión para optimizar tiempos, se incluiran en el proceso los tiempos de analisis cartografico para que sean contabilizados y monitoreados.  En la medida de las posibilidades se incluirá los trámites por fuera de CITA al aplicativo, igualmente se buscará desarrollar algunas etapas de manera virtual, como las relacionadas con las Regionales respecto a los actos administrativos o el analisis cartografico para todas las sedes regionales (incluido CEntro).</t>
  </si>
  <si>
    <t>Trimestre I</t>
  </si>
  <si>
    <t>Trimestre II</t>
  </si>
  <si>
    <t>Trimestre III</t>
  </si>
  <si>
    <t>Trimestre IV</t>
  </si>
  <si>
    <t>Subtotal</t>
  </si>
  <si>
    <t xml:space="preserve">N° de seguimiento de autorizaciones vigentes de acuerdo al procedimiento "P-AA-07: SEGUIMIENTO Y CONTROL A TRÁMITES AMBIENTALES". </t>
  </si>
  <si>
    <t>N° de autorizaciones otorgadas vigentes.</t>
  </si>
  <si>
    <t>Porcentaje (%) de seguimiento de autorizaciones vigentes de acuerdo al procedimiento  "P-AA-07: SEGUIMIENTO Y CONTROL A TRÁMITES AMBIENTALES".</t>
  </si>
  <si>
    <t xml:space="preserve">N° de encuestas de satisfacción calificadas por los Usuarios de trámites ambientales. </t>
  </si>
  <si>
    <t xml:space="preserve">Se analizaron y tomaron acciones respecto a las opiniones de los Usuarios. </t>
  </si>
  <si>
    <t>Los datos con corte a octubre es del 0% y el consolidado del año fue del 86%</t>
  </si>
  <si>
    <t>Del Acta Nº 300-01-04-18-0200 del 2 de octubre de 2012, se establecieron siete acciones correctivas, de los cuales sólo falta "Implementar para la próxima vigencia, la inclusión del “cumplimiento de los términos de los trámites ambientales” en los compromisos laborales de los funcionarios que aplique", que está programada entre febrero y marzo del 2013.</t>
  </si>
  <si>
    <t>Asegurar las competencias e idoneidad de los servidores públicos, a través de las actividades de perfilación, vinculación, capacitación, evaluación y gestión del ambiente laboral; con el fin de lograr mejoras eficaces en la productividad de los procesos misionales.</t>
  </si>
  <si>
    <t>PORCENTAJE (%) DE ENCUESTAS DE SATISFACCIÓN DEL "PLAN ANUAL DE FORMACIÓN, CAPACITACIÓN, BIENESTAR SOCIAL E INCENTIVOS DEL PERSONAL" CALIFICADAS POR PARTE DE LOS FUNCIONARIOS CON UNA NOTA IGUAL O SUPERIOR A TRES PUNTO CINCO (3.5) SOBRE CINCO (5.0).</t>
  </si>
  <si>
    <t>(N°  de encuestas de satisfacción del "Plan Anual de Formación, Capacitación, Bienestar Social e Incentivos del Personal" calificadas por parte de los funcionarios con una nota igual o superior a tres punto cinco (3.5) sobre cinco (5.0) / N°  de encuestas de satisfacción del "Plan Anual de Formación, Capacitación, Bienestar Social e Incentivos del Personal" calificadas por parte de los funcionarios) * 100.</t>
  </si>
  <si>
    <t xml:space="preserve">Mide el porcentaje de encuestasdel "Plan Anual de Formación, Capacitación, Bienestar Social e Incentivos del Personal" calificadas por parte de los funcionarios con una nota igual o superior a tres punto cinco (3.5) sobre cinco (5.0) </t>
  </si>
  <si>
    <r>
      <t xml:space="preserve">Lider del Proceso </t>
    </r>
    <r>
      <rPr>
        <sz val="8"/>
        <color theme="1"/>
        <rFont val="Verdana"/>
        <family val="2"/>
      </rPr>
      <t>(Subdirector de Administrativo y Financiero con el apoyo de Equipo de Trabajo)</t>
    </r>
  </si>
  <si>
    <t>De 50% a 59.9%</t>
  </si>
  <si>
    <t>Menos de 49.9%</t>
  </si>
  <si>
    <t>PORCENTAJE (%) DE ACTIVIDADES DE FORMACIÓN Y/O CAPACITACIÓN DE PERSONAL CUMPLIDAS EFICAZMENTE.</t>
  </si>
  <si>
    <t>(N° de actividades de formación y/o capacitación de personal cumplidas eficazmente / N° de actividades de formación y/o capacitación de personal cumplidas) * 100.</t>
  </si>
  <si>
    <t>Mide el porcentaje de actividades de formación y/o capacitación de personal cumplidas que tuvieron  la  capacidad de alcanzar el efecto que se esperaba o deseaba tras la realización de la misma.</t>
  </si>
  <si>
    <t>92% o más</t>
  </si>
  <si>
    <t>De 70% a 91.9%</t>
  </si>
  <si>
    <t xml:space="preserve">(N° de reconocimientos otorgados / N° de reconocimientos identificados de acuerdo a lo establecido en el Plan Anual de Formación, Capacitación, Bienestar Social e Incentivos del Personal 2014)*100.  .  </t>
  </si>
  <si>
    <t>Mide el porcentaje de reconocimientos otorgados de acuerdo a lo establecido en el Plan Anual de Formación, Capacitación, Bienestar Social e Incentivos del Personal 2014, con el fin de incentivar o estimular la productividad del personal en los diferentes  procesos</t>
  </si>
  <si>
    <t>Porcentaje (%) de Encuestas de Satisfacción del "Plan Anual de Formación, Capacitación, Bienestar Social e Incentivos del Personal" Calificadas por Parte de los Funcionarios con una Nota Igual o Superior a Tres Punto Cinco (3.5) Sobre Cinco (5.0)</t>
  </si>
  <si>
    <t>N° de Encuestas de Satisfacción del "Plan Anual de Formación, Capacitación, Bienestar Social e Incentivos del Personal" Calificadas por Parte de los Funcionarios con una Nota Igual o Superior a Tres Punto Cinco (3.5) Sobre Cinco (5.0)</t>
  </si>
  <si>
    <t>N° de Encuestas de Satisfacción del "Plan Anual de Formación, Capacitación, Bienestar Social e Incentivos del Personal" Calificadas por Parte de los Funcionarios</t>
  </si>
  <si>
    <t xml:space="preserve">Se analizaron y tomaron acciones respecto a las opiniones de los funcionarios, incluyendo las necesidade de capacitación. </t>
  </si>
  <si>
    <t>Porcentaje (%) de Actividades de Formación y/o Capacitación de Personal Cumplidas Eficazmente</t>
  </si>
  <si>
    <t>N° de Actividades de Formación y/o Capacitación de Personal Cumplidas Eficazmente</t>
  </si>
  <si>
    <t>N° de Actividades de Formación y/o Capacitación de Personal Cumplidas</t>
  </si>
  <si>
    <t>Los datos con corte a junio es del 55,3% y el consolidado año del 94,7%</t>
  </si>
  <si>
    <t xml:space="preserve">No se pudo realizar las capacitaciones:  Actualización en Normatividad del Proceso Tasación de Multas y Tabla de Retención Documental (TRD) actualizada con respecto al Sistema de Gestión Corporativo.
Para la elaboración del nuvo plan de formación y/o capacitación de personal  se tendra encuenta si es necesaria la necesidad de la incorporación de las las capacitaciones que faltaron .
</t>
  </si>
  <si>
    <t>Los datos con corte a junio es del 78% y el consolidado año del 91%</t>
  </si>
  <si>
    <r>
      <t xml:space="preserve">Por dificultades en la consecución de expertos en el tema, no se pudo realizar las siguientes capacitaciones: 
</t>
    </r>
    <r>
      <rPr>
        <sz val="12"/>
        <color theme="1"/>
        <rFont val="Verdana"/>
        <family val="2"/>
      </rPr>
      <t xml:space="preserve">- Tasación de multas ambientales, 
- Interpretación de datos climatológicos, 
- Solución de Conflictos por Uso de Agua. </t>
    </r>
    <r>
      <rPr>
        <sz val="14"/>
        <color theme="1"/>
        <rFont val="Verdana"/>
        <family val="2"/>
      </rPr>
      <t xml:space="preserve">
Para la elaboración del nuvo plan de formación y/o capacitación de personal  se tendra encuenta si es necesaria la necesidad de la incorporación de las las capacitaciones que faltaron .</t>
    </r>
  </si>
  <si>
    <r>
      <t xml:space="preserve">No se efectuaron las siguientes capacitaciones:
</t>
    </r>
    <r>
      <rPr>
        <sz val="12"/>
        <color theme="1"/>
        <rFont val="Verdana"/>
        <family val="2"/>
      </rPr>
      <t>-Promoción del Plan Anticorrupción y de atención al ciudadano.
-Actualización Manejo de SIRECI
-Evaluación de Impacto Ambiental
Nota: Respecto a la eficacia de las capacitaciones adicional a la aplicación de lo recibido en los diferentes temas, se realizo la "ENCUESTA DE EVALUACIÓN DE LA TRANSFERENCIA E IMPACTO EN EL SERVICIO POR LAS CAPACITACIONES REALIZADAS" teniendo los siguientes resultados:</t>
    </r>
  </si>
  <si>
    <t>Tema</t>
  </si>
  <si>
    <t>Posibles objetivos</t>
  </si>
  <si>
    <t>Cumplimiento</t>
  </si>
  <si>
    <t xml:space="preserve">Todas las Áreas
</t>
  </si>
  <si>
    <t>Riesgos Corporativos por Procesos.</t>
  </si>
  <si>
    <t>Administrar el riesgo en los procesos del Sistema de Gestión Corporativo con el fin de evitar, minimizar o asumir los factores que puedan llegar a afectar el cumplimiento de los objetivos de la Corporación.</t>
  </si>
  <si>
    <t>Valores Éticos por Proceso.</t>
  </si>
  <si>
    <t>Plan Anticorrupción y de Atención al Ciudadano.</t>
  </si>
  <si>
    <t>Dar cumplimiento a las  normas orientadas a fortalecer los mecanismos de prevención, investigación y sanción de actos de corrupción y la efectividad del control de la gestión pública.</t>
  </si>
  <si>
    <t>Actualización en cambios que se presenten en los documentos de los procesos del Sistema de Gestión Corporativo - SGC.</t>
  </si>
  <si>
    <t>Actualizar los funcionarios en los cambios que se hayan presentado en los documentos de los procesos del SGC.</t>
  </si>
  <si>
    <t xml:space="preserve">Manual 3.1 para la Implementación de la Estrategia de Gobierno en Línea de la República de Colombia” y/o afines. </t>
  </si>
  <si>
    <t xml:space="preserve">Cumplir las fases de la "Estrategia de Gobierno en Línea" conforme a lo establecido en el Manual 3.1. </t>
  </si>
  <si>
    <t xml:space="preserve">Dirección General
</t>
  </si>
  <si>
    <t>Control interno - Auditorías internas.</t>
  </si>
  <si>
    <t>Actualizar el (los) funcionario(s) de la Oficina de Control Interno en Auditorías Internas de acuerdo a lineamientos del DAFP.</t>
  </si>
  <si>
    <t>Sistema de Rendición Electrónica de la Cuenta e Informes - SIRECI.</t>
  </si>
  <si>
    <t>Actualizar los funcionarios en el cumplimiento del método y la forma de rendir cuenta e informes a la Contraloría General de la República, a través del Sistema de Rendición Electrónica de la Cuenta e Informes – "SIRECI".</t>
  </si>
  <si>
    <t>Medios digitales y/o desarrollo de las TIC´S.</t>
  </si>
  <si>
    <t>Oficina Jurídica</t>
  </si>
  <si>
    <t>Procedimiento Disciplinario</t>
  </si>
  <si>
    <t>Fortalecer los funcionarios en la aplicación del Código Disciplinario Único.</t>
  </si>
  <si>
    <t>Licencias Ambientales.</t>
  </si>
  <si>
    <t xml:space="preserve">Fortalecer los funcionarios en los criterios técnico jurídicos para atender los trámites de Licencias Ambientales. </t>
  </si>
  <si>
    <t>Manejo de Herramienta CITA.</t>
  </si>
  <si>
    <t>Fortalecer los funcionarios en el uso de la herramienta Corporativa CITA módulo Aplicación de la Autoridad Ambiental.</t>
  </si>
  <si>
    <t>Contratación Estatal.</t>
  </si>
  <si>
    <t xml:space="preserve">Fortalecer los funcionarios del área jurídica de contratación en la aplicación de la normatividad vigente de contratación. </t>
  </si>
  <si>
    <t>Sudirección Planeación y Ordenamiento Territorial</t>
  </si>
  <si>
    <t>Formulación de proyectos.</t>
  </si>
  <si>
    <t>Fortalecer los funcionarios en la aplicación de las metodologías para la formulación y gestión de proyectos.</t>
  </si>
  <si>
    <t>Sistema Unificado de Inversión y Finanzas Públicas -SUIFP y Seguimiento de Proyectos de Inversión -SPI.</t>
  </si>
  <si>
    <t>Fortalecer los funcionarios en el uso de las herramientas definidas por Departamento Nacional de Planeación - DNP para la formulación y seguimiento de proyectos de inversión.</t>
  </si>
  <si>
    <t>Gestión del Riesgo de Desasres en el marco de las funciones de CORPOURABA de acuerdo con la normatividad ambiental.</t>
  </si>
  <si>
    <t>Capacitar los funcionarios  para el asesoramiento, apoyo y/o participación en los Consejos de los Entes Territoriales de Gestión del Riesgo de Desastres en el marco de las funciones de CORPOURABA de acuerdo con la normatividad ambiental.</t>
  </si>
  <si>
    <t>Centro Información de Trámite - CITA módulos  Planeación Global y Gestión de Proyectos.</t>
  </si>
  <si>
    <t>Fortalecer los funcionarios en el uso de la herramienta Corporativa CITA módulos  Planeación Global y Gestión de Proyectos.</t>
  </si>
  <si>
    <t>Sistema de Información Ambiental.</t>
  </si>
  <si>
    <t>Fortalecer los funcionarios en el uso, manejo y difusión de información espacial.</t>
  </si>
  <si>
    <t>Subdirección de Gestión y Administración Ambiental</t>
  </si>
  <si>
    <t>Industria forestales; regulación, manejo de libros de operaciones forestales, elaboración de informes anuales, cálculo de % de desperdicio.</t>
  </si>
  <si>
    <t>Fortalecer los funcionarios en la atención de trámites de Industria forestales: Regulación, manejo de libros de operaciones forestales, elaboración de informes anuales, cálculo de % de desperdicio.</t>
  </si>
  <si>
    <t>Seguimiento a aprovechamientos forestales.</t>
  </si>
  <si>
    <t>Fortalecer los funcionarios en los seguimientos de permisos de aprovechamiento forestal.</t>
  </si>
  <si>
    <t>Evaluación de daños ambientales.</t>
  </si>
  <si>
    <t xml:space="preserve">Fortalecer los funcionarios en el cálculo y aplicación de multas ambientales. </t>
  </si>
  <si>
    <t>Evaluación de impacto ambiental.</t>
  </si>
  <si>
    <t>Fortalecer los funcionarios en la evaluación y/o análisis de impactos ambientales.</t>
  </si>
  <si>
    <t>Atención de decomisos en minería.</t>
  </si>
  <si>
    <t>Fortalecer los funcionarios en la atención de decomisos en minería, de acuerdo a los términos normativos.</t>
  </si>
  <si>
    <t>Riesgos: Competencias, priorización de obras, manejo.</t>
  </si>
  <si>
    <t>Cambio climático.</t>
  </si>
  <si>
    <t>Fortalecer a los funcionarios en la temática y en la ingerencia y/o competencia que tiene La Corporación respecto a la misma.</t>
  </si>
  <si>
    <t>Modelación cargas contaminantes por vertimientos.</t>
  </si>
  <si>
    <t>Fortalecer los funcionarios en los criterios técnicos para la administración del recurso agua.</t>
  </si>
  <si>
    <t>SIG bases de datos espaciales.</t>
  </si>
  <si>
    <t>Interventoría técnica de proyectos.</t>
  </si>
  <si>
    <t>Fortalecer los coordinadores y/o supervisores de los proyectos en el tema de interventoría de proyectos.</t>
  </si>
  <si>
    <t>Estudios hidrológicos.</t>
  </si>
  <si>
    <t>Realización de Sondeos Electricos Verticales - SEV.</t>
  </si>
  <si>
    <t>Servicios ecosistémicos, estimación stock de carbono, monitoreo de bosques SIG, políticas REDD.</t>
  </si>
  <si>
    <t>Capacitar a los funcionarios en la temática, para la posible gestión de recursos e implementación de pilotos en la jurisdicción de CORPOURABA.</t>
  </si>
  <si>
    <t>Actualización Uso Sistema Integrado de Información Financiera - SIIF Nación.</t>
  </si>
  <si>
    <t>Fortalecer los funcionarios  en el uso del Sistema Integrado de Información Financiera - SIIF Nación del Ministerio de Hacienda y Credito Público.</t>
  </si>
  <si>
    <t>Actualización Tributaria.</t>
  </si>
  <si>
    <t>Fortalecer los funcionarios  para la aplicación de normas de materia tributaria relacionadas al accionar de La Corporación.</t>
  </si>
  <si>
    <t>Seguridad Social.</t>
  </si>
  <si>
    <t>Fortalecer los funcionarios  para la aplicación de normas seguridad social relacionadas al accionar de La Corporación.</t>
  </si>
  <si>
    <t>Laboratorio de Análsis de Aguas</t>
  </si>
  <si>
    <t>Capacitación en manejo de equipos absorción atómica y detector de masas.</t>
  </si>
  <si>
    <t>Capacitar los funcionarios en el manejo de equipos de absorción atómica y detector de masas una vez se adquieran los equipos.</t>
  </si>
  <si>
    <t>Incertidumbre.</t>
  </si>
  <si>
    <t>Fortalecer los funcionarios en la cuantificación de la incertidumbre de los métodos análiticos.</t>
  </si>
  <si>
    <t>Metrología y Masas.</t>
  </si>
  <si>
    <t>Capacitar los funcionarios en el tema de metrologíay masas para las verificaciones de los diferentes equipos de medición.</t>
  </si>
  <si>
    <t>Validación de Métodos Microbiológicos.</t>
  </si>
  <si>
    <t>Capacitar los funcionarios en el tema de validación de métodos microbiológicos.</t>
  </si>
  <si>
    <t>Validación de Métodos Fisicoquímicos.</t>
  </si>
  <si>
    <t>Capacitar los nuevos funcionarios en el tema de validación de métodos fisicoquímicos.</t>
  </si>
  <si>
    <t>CITA módulo Laboratorio de Análisis de Aguas.</t>
  </si>
  <si>
    <t>Fortalecer los funcionarios en el uso del aplicativo CITA módulo Aplicación de la Autoridad Ambiental.</t>
  </si>
  <si>
    <t>Sede Regional Urrao</t>
  </si>
  <si>
    <t>Responsabilidades corporativas y normatividad de gestion del riesgo.</t>
  </si>
  <si>
    <t xml:space="preserve">Valoración de daño ambiental. </t>
  </si>
  <si>
    <t>Manejo de fauna silvestre.</t>
  </si>
  <si>
    <t>Capacitar los funcionarios  en la atención de fauna silvestre decomisada y/o entregada voluntariamente, liberación y/o envío de especímenes al hogar de paso, de acuerdo a los protolocos y/o normatividad vigente.</t>
  </si>
  <si>
    <t>Aplicativo CITA.</t>
  </si>
  <si>
    <t>Sede Regional Nutibara</t>
  </si>
  <si>
    <t xml:space="preserve">Sistema de Información Ambiental - SIA (Arcmap, Autocad y/o ArcGis). </t>
  </si>
  <si>
    <t>Aplicativo SISF.</t>
  </si>
  <si>
    <t>Fortalecer los funcionarios  en el uso del aplicactivo Sistema de Información y Seguimiento Forestal - SISF.</t>
  </si>
  <si>
    <t>Sede Regional Atrato</t>
  </si>
  <si>
    <t>Normatividad ambiental.</t>
  </si>
  <si>
    <t>Fortalecer los funcionarios en la conceptuación y aplicación de la  normatividad ambiental vigente.</t>
  </si>
  <si>
    <t>Sede Regional Caribe</t>
  </si>
  <si>
    <t>Planes de Manejo Forestal - PMF.</t>
  </si>
  <si>
    <t>Fortalecer los funcionarios en la aplicación de la metodología de evaluación, inventario forestal y seguimiento de los Planes de Manejo Forestal.</t>
  </si>
  <si>
    <t>Gestión del Riesgo.</t>
  </si>
  <si>
    <t xml:space="preserve">Sistema de Información Ambiental - SIA y/o Argis. </t>
  </si>
  <si>
    <t>CITA Módulo Autoridad Ambiental.</t>
  </si>
  <si>
    <t>Actualización aplicativo SISF.</t>
  </si>
  <si>
    <t>Manejo y actualización del aplicativo  SEVENET.</t>
  </si>
  <si>
    <t>Fortalecer los funcionarios  en el uso del aplicactivo SEVENET.</t>
  </si>
  <si>
    <t>Evaluación de planes de manejo forestal.</t>
  </si>
  <si>
    <t>Actualización en normatividad ambiental aplicada a trámites y servicios.</t>
  </si>
  <si>
    <t>Fortalecer los funcionarios en la conceptualización y aplicación de la  normatividad ambiental vigente.</t>
  </si>
  <si>
    <t>Cambio climático (Ingerencias y competencias corporativas).</t>
  </si>
  <si>
    <t>Nuevas funciones Corporativas en el tema marino costero.</t>
  </si>
  <si>
    <t>Capacitar los funcionarios en las nuevas funciones Corporativas en el tema marino costero.</t>
  </si>
  <si>
    <t>Nuevas funciones Corporativas en el tema gestión del riesgo.</t>
  </si>
  <si>
    <t>Evaluación de impactos ambientales.</t>
  </si>
  <si>
    <t>Tipo de Reconocimiento</t>
  </si>
  <si>
    <t xml:space="preserve">N° de Reconocimientos Otorgados </t>
  </si>
  <si>
    <t>Reconocimiento por antigüedad.</t>
  </si>
  <si>
    <t>Por una antiguedad de 5 años,  1 dia de descanso remunerado.</t>
  </si>
  <si>
    <t>Por una antiguedad de 10 años, 2 días de descanso remunerados.</t>
  </si>
  <si>
    <t>Por una antiguedad de 15, 20 y 25 años, 3 días de descanso remunerados.</t>
  </si>
  <si>
    <t>Subtotal Reconocimiento por Antigüedad.</t>
  </si>
  <si>
    <t>Reconocimiento por logros deportivos, culturales y/o artísticos.</t>
  </si>
  <si>
    <t>1 dia de descanso remunerado por sus logros deportivos, culturales y/o artísticos.</t>
  </si>
  <si>
    <t>Reconocimiento por desempeño laboral sobresaliente.</t>
  </si>
  <si>
    <t>3 dias de descanso remunerado y reconocimiento  por escrito con copia  a la hoja de vida.</t>
  </si>
  <si>
    <t>Reconocimiento por estudios superiores (especialización, maestría) relacionados con el objeto misional.</t>
  </si>
  <si>
    <t>1 día de descanso remunerado por título de especializacion obtenido relacionado con el objeto misional.</t>
  </si>
  <si>
    <t>2 días de descanso remunerado por título de maestría obtenido relacionado con el objeto misional.</t>
  </si>
  <si>
    <t>Subtotal Reconocimientos por Estudios Superiores</t>
  </si>
  <si>
    <t>Total Reconocimientos</t>
  </si>
  <si>
    <t>Adquirir, suministrar, mantener y salvaguardar los recursos e infraestructura a través de las actividades de administración y contratación de bienes y servicios necesarios para el cumplimiento de los objetivos de los diferentes procesos del Sistema de Gestión Corporativo.</t>
  </si>
  <si>
    <t>PORCENTAJE  (%) DE ENCUESTAS DE SATISFACCIÓN  DEL SERVICIO PRESTADO POR EL PROCESO DE GESTIÓN DE RECURSOS E INFRAESTRUCTURA (ALMACÉN, CONTRATACIÓN, SISTEMAS), CALIFICADAS POR PARTE DE LOS FUNCIONARIOS CON UNA NOTA IGUAL O SUPERIOR A TRES PUNTO CINCO (3.5)</t>
  </si>
  <si>
    <t>(N° de encuestas de satisfacción  del servicio prestado por el proceso de Gestión de Recursos e Infraestructura (Almacén, Contratación, Sistemas), calificadas por parte de los funcionarios con una nota igual o superior a tres punto cinco (3.5) sobre cinco (5.0) / N°  de encuestas de satisfacción  del servicio prestado por el proceso de Gestión de Recursos e Infraestructura (Almacén, Contratación, Sistemas), calificadas por parte de los funcionarios))*100.</t>
  </si>
  <si>
    <t>Mide el porcentaje de encuestas de satisfacción  del servicio prestado por el proceso de Gestión de Recursos e Infraestructura (Almacén, Contratación, Sistemas), calificadas por parte de los funcionarios con una nota igual o superior a tres punto cinco (3.5) sobre cinco (5.0) .</t>
  </si>
  <si>
    <t>PORCENTAJE (%) DE DISMINUCIÓN DE CONSUMO DE PAPEL.</t>
  </si>
  <si>
    <t>((Consumo  de papel vigencia actual / Consumo de papel vigencia anterior) menos uno (1))*100.</t>
  </si>
  <si>
    <t>Mide el porcentaje de disminución de consumo de papel de la vigencia actual respecto a la vigencia anterior.</t>
  </si>
  <si>
    <t>Mensual</t>
  </si>
  <si>
    <t>(-2%) en adelante.</t>
  </si>
  <si>
    <t>(-2%) en adelante</t>
  </si>
  <si>
    <t>Entre -1,9% y  0%</t>
  </si>
  <si>
    <t>Mayor a cero (0)</t>
  </si>
  <si>
    <t>PORCENTAJE (%) DE DISMINUCIÓN DE CONSUMO DE AGUA.</t>
  </si>
  <si>
    <t>((Consumo de agua vigencia actual (m3) / Consumo de agua vigencia anterior (m3) menos uno (1))*100</t>
  </si>
  <si>
    <t>Mide el porcentaje de disminución de consumo de agua de la vigencia actual respecto a la vigencia anterior.</t>
  </si>
  <si>
    <t>(-1%) en adelante.</t>
  </si>
  <si>
    <t>(-1%) en adelante</t>
  </si>
  <si>
    <t>Entre -0.9% y  0%</t>
  </si>
  <si>
    <t>PORCENTAJE (%)  DE DISMINUCIÓN DE CONSUMO DE ENERGÍA.</t>
  </si>
  <si>
    <t>((Consumo  de energía (kw) vigencia actual / Consumo de energía (kw) vigencia anterior) menos uno (1))*100</t>
  </si>
  <si>
    <t>Mide el porcentaje de disminución de consumo de energía de la vigencia actual respecto a la vigencia anterior.</t>
  </si>
  <si>
    <t>N° DE HERRAMIENTAS TECNOLÓGICAS PARA LA ADMINISTRACIÓN, SEGUIMIENTO Y CONTROL DE LOS CONTRATOS ADQUIRIDOS E IMPLEMENTADAS.</t>
  </si>
  <si>
    <t>N° de herramientas  tecnológicas para la administración, seguimiento y control de los contratos adquiridas e implementadas.</t>
  </si>
  <si>
    <r>
      <t xml:space="preserve">Mide el número de herramientas  tecnológicas para la administración, seguimiento y control de los contratos adquiridas e implementadas , con el fin de contribuir en la minimización o anulación de una </t>
    </r>
    <r>
      <rPr>
        <i/>
        <sz val="11"/>
        <color theme="1"/>
        <rFont val="Verdana"/>
        <family val="2"/>
      </rPr>
      <t>"Posible adquisición de bienes y servicios sin los requisitos establecidos".</t>
    </r>
  </si>
  <si>
    <t>Una herramienta adquirida e implementada</t>
  </si>
  <si>
    <t>Una herramienta adquirida</t>
  </si>
  <si>
    <t>0 herramienta.</t>
  </si>
  <si>
    <t>N° DE EVENTOS DE CAPACITACIÓN Y/O REINDUCCIÓN EN PLANEACIÓN, IDENTIFICACIÓN DE RIESGOS, MANUALES Y PROCEDIMIENTOS DE CONTRATACIÓN.</t>
  </si>
  <si>
    <t>N° de eventos de capacitación y/o reinducción en planeación, identificación de riesgos, manuales y procedimientos de contratación.</t>
  </si>
  <si>
    <r>
      <t xml:space="preserve">Mide el número de eventos de capacitación y/o reinducción en planeación, identificación de riesgos, manuales y procedimientos de contratación, con el fin de contribuir en la minimización o anulación de una </t>
    </r>
    <r>
      <rPr>
        <i/>
        <sz val="11"/>
        <color theme="1"/>
        <rFont val="Verdana"/>
        <family val="2"/>
      </rPr>
      <t>"Posible adquisición de bienes y servicios sin los requisitos establecidos"</t>
    </r>
    <r>
      <rPr>
        <sz val="11"/>
        <color theme="1"/>
        <rFont val="Verdana"/>
        <family val="2"/>
      </rPr>
      <t>.</t>
    </r>
  </si>
  <si>
    <t>1 evento de capacitación</t>
  </si>
  <si>
    <t>1 evento de capacitación.</t>
  </si>
  <si>
    <t>O eventos de capacitación.</t>
  </si>
  <si>
    <t>Porcentaje (%) de Encuestas de Satisfacción del Servicio Prestado por el Proceso de Gestión de Recursos E Infraestructura (Almacén, Contratación, Sistemas), Calificadas por Parte de los Funcionarios con Una Nota Igual o Superior a Tres Punto Cinco (3.5)</t>
  </si>
  <si>
    <t>N° de Encuestas de Satisfacción del Servicio Prestado por el Proceso de Gestión de Recursos E Infraestructura (Almacén, Contratación, Sistemas), Calificadas por Parte de los Funcionarios con Una Nota Igual o Superior a Tres Punto Cinco (3.5)</t>
  </si>
  <si>
    <t>N° de Encuestas de Satisfacción del Servicio Prestado por el Proceso de Gestión de Recursos E Infraestructura (Almacén, Contratación, Sistemas), Calificadas por Parte de los Funcionarios</t>
  </si>
  <si>
    <t xml:space="preserve">Se analizaron y tomaron acciones respecto a las opiniones de los funcionarios. </t>
  </si>
  <si>
    <t>Porcentaje (%) de Dismininución de Consumo de Papel</t>
  </si>
  <si>
    <t>Área/Subdirección</t>
  </si>
  <si>
    <t>Producto de Papel</t>
  </si>
  <si>
    <t xml:space="preserve">Consumo </t>
  </si>
  <si>
    <t>% Reducción 2014 vs 2013</t>
  </si>
  <si>
    <t>Año</t>
  </si>
  <si>
    <t>Promedio Mes</t>
  </si>
  <si>
    <t>Ene</t>
  </si>
  <si>
    <t>Feb</t>
  </si>
  <si>
    <t>Mar</t>
  </si>
  <si>
    <t>Abr</t>
  </si>
  <si>
    <t>May</t>
  </si>
  <si>
    <t>Jun</t>
  </si>
  <si>
    <t>Jul</t>
  </si>
  <si>
    <t>Ago</t>
  </si>
  <si>
    <t>Sep</t>
  </si>
  <si>
    <t>Oct</t>
  </si>
  <si>
    <t>Nov</t>
  </si>
  <si>
    <t>Dic</t>
  </si>
  <si>
    <t>Dirección General</t>
  </si>
  <si>
    <t>Carta</t>
  </si>
  <si>
    <t>Oficio</t>
  </si>
  <si>
    <t>SPOT</t>
  </si>
  <si>
    <t>SGAA</t>
  </si>
  <si>
    <t>SAF</t>
  </si>
  <si>
    <t>Jurídica</t>
  </si>
  <si>
    <t>Fotocopias</t>
  </si>
  <si>
    <t>Porcentaje (%) de Dismininución de Consumo de Agua</t>
  </si>
  <si>
    <t>Contador</t>
  </si>
  <si>
    <t>SEDE CENTRAL FINANCIERA 178532 7 8720952</t>
  </si>
  <si>
    <t>179725 / 8720975</t>
  </si>
  <si>
    <t>179602 / 8720974</t>
  </si>
  <si>
    <t>179892 / 8720976</t>
  </si>
  <si>
    <t>SEDE REGIONAL CARIBE 2200</t>
  </si>
  <si>
    <t>Porcentaje (%) de Disminución de Consumo de Energía</t>
  </si>
  <si>
    <t>SEDE CENTRAL-9700 (45100179700) 6320959</t>
  </si>
  <si>
    <t>SEDE REGIONAL CARIBE 34151142508 / 6399054</t>
  </si>
  <si>
    <t>Administrar adecuadamente los recursos económicos a través de la gestión presupuestal, tesorería, facturación, recaudo, contabilidad y generación de informes para la toma de decisiones de los órganos de Dirección; como aporte de la sostenibilidad financiera de La Corporación.</t>
  </si>
  <si>
    <t>PORCENTAJE (%) DE INCREMENTO DE CARTERA RECUPERADA ENTRE VIGENCIAS.</t>
  </si>
  <si>
    <t>(Cartera recuperada vigencia actual - cartera recuperada vigencia anterior / cartera recuperada vigencia anterior)*1000</t>
  </si>
  <si>
    <t>Mide el porcentaje de cartera recuperada respecto a la presupuestada para la vigencia actual.</t>
  </si>
  <si>
    <t xml:space="preserve">10% o más
</t>
  </si>
  <si>
    <t>10% o más</t>
  </si>
  <si>
    <t>5% a 9.9%</t>
  </si>
  <si>
    <t>Menos de 5%</t>
  </si>
  <si>
    <t xml:space="preserve">PORCENTAJE (%) DE INCREMENTO DE INGRESOS POR SOBRETASA AMBIENTAL  ENTRE VIGENCIAS. </t>
  </si>
  <si>
    <t>((Ingresos por sobretasa ambiental vigencia actual - Ingresos por sobretasa ambiental vigencia anterior) / Ingresos por sobretasa ambiental vigencia anterior)*100</t>
  </si>
  <si>
    <t>Mide el porcentaje de incremento de ingresos por sobretasa ambiental de la vigencia actual respecto a la vigencia anterior.</t>
  </si>
  <si>
    <r>
      <t>Mide el número de eventos de capacitación y/o reinducción en la aplicación de los procedimientos y manejo de aplicativos financieros y/o contables, con el fin de contribuir en la minimización o anulación de un posible</t>
    </r>
    <r>
      <rPr>
        <i/>
        <sz val="11"/>
        <color theme="1"/>
        <rFont val="Verdana"/>
        <family val="2"/>
      </rPr>
      <t xml:space="preserve"> "Retrazo o reproceso en la ejecución de las actividades financieras y contables".</t>
    </r>
  </si>
  <si>
    <t>1 evento de capacitación y/o reinducción</t>
  </si>
  <si>
    <t>Una o mas capacitaciones y/o reinducciones</t>
  </si>
  <si>
    <t>0 capacitaciones y/o reinducciones</t>
  </si>
  <si>
    <t>Porcentaje (%) de Incremento de Cartera Recuperada entre Vigencias</t>
  </si>
  <si>
    <t xml:space="preserve">Cartera recuperada vigencia actual - cartera recuperada vigencia anterior </t>
  </si>
  <si>
    <t>Cartera recuperada vigencia anterior</t>
  </si>
  <si>
    <t>Porcentaje (%) de incremento de cartera recuperada entre vigencias.</t>
  </si>
  <si>
    <t>La recuperación de cartera es el principal rubro de ingresos propios (22%) que hace parte de los recursos de Capital, el cual incluye además los rendimientos financieros y excedentes. 
Este ingreso se ha  fortalecido por políticas efectivas de recaudo de los diferentes conceptos facturados en años anteriores, especialmente a los entes territoriales en lo concerniente a la sobretasa ambiental, tasa retributivas y de igual manera con los  sectores productivos con las tasas retributivas, tasas por uso a través de la consolidación de la oficina de cobro coactivo mediante la firma de acuerdos de pago.</t>
  </si>
  <si>
    <t>Aunque sigue mejorándose en el recaudo según lo observado en el histórico del indicador, no se alcanzó la meta debido a la crisis económicas de los principales deudores de la Corporación, que son las administraciones municipales.</t>
  </si>
  <si>
    <t>Se evidencia una disminución debido a la crisis financiera que agobia a las administraciones municipales entrantes dejada por sus antecesores.
Se debe revisar y/o replantear las acciones y/o estrategias establecidas para la recuperación de cartera, buscando con ello obtener mejores resultados en la vigencia 2013 y poder cumplir con la meta del indicador.</t>
  </si>
  <si>
    <t>Acorde a las estrategias diseñadas por la entidad, se cumplió la meta.</t>
  </si>
  <si>
    <t>Porcentaje (%) de Incremento de Ingresos por Sobretasa Ambiental entre Vigencias</t>
  </si>
  <si>
    <t>Ingresos por sobretasa ambiental vigencia actual - Ingresos por sobretasa ambiental vigencia anterior.</t>
  </si>
  <si>
    <t>Ingresos por sobretasa ambiental vigencia anterior.</t>
  </si>
  <si>
    <t>Porcentaje (%) de incremento de ingresos por sobretasa ambiental  entre vigencias.</t>
  </si>
  <si>
    <t>Continuar con las gestiones necesarias para mantener o superar la meta establecida del indicador.</t>
  </si>
  <si>
    <t>No obstante el ingreso del año 2013 ($2.140.772.303) fue similar al de la vigencia 2012 ($2.174.010.478), no se alcanzó la meta por la falta de pago por parte de algunos municipios de la jurisdicción; acumulándose un saldo por recaudar por valor de $1.541.783.220. Según la “Relación de Facturación de Sobretasa Ambiental” con corte al 31/12/2013, Los municipios con deudas más representativas son: Chigorodó ($620.675.408), Carepa ($185.650.447), Urrao ($161.552.528), Arboletes ($149.661.591) y San Juan de Urabá ($79.983.844).</t>
  </si>
  <si>
    <t>Efectuar análisis y/o muestreo de aguas cumpliendo con los requerimientos establecidos por el IDEAM y los lineamientos de la norma NTC-ISO 17025, para satisfacer las necesidades del servicio de los Usuarios.</t>
  </si>
  <si>
    <t>PORCENTAJE (%) DE PRUEBAS DE INTERCALIBRACIÓN  APROBADAS.</t>
  </si>
  <si>
    <t>(N° de pruebas de intercalibración aprobadas / N° de pruebas de intercalibración realizadas)*100</t>
  </si>
  <si>
    <t>Mide el porcentaje pruebas de intercalibración aprobadas de las realizadas por el Laboratorio ante el PICCAP Instituto Nacional de Salud,  IDEAM, Laboratorio Departamental de Salud Pública y/u otros.</t>
  </si>
  <si>
    <t>Trimestral</t>
  </si>
  <si>
    <t xml:space="preserve">PORCENTAJE (%) DE ANÁLISIS RESUELTOS EN UN TIEMPO IGUAL O INFERIOR A LO REGLAMENTADO EN EL SGC: 
*MICROBIOLÓGICOS Y/O POTABLES ELABORADOS EN UN TIEMPO MÁXIMO DE SIETE (7) DÍAS HÁBILES.
*CONCESIONES DE AGUAS Y/O PERMISOS DE VERTIMIENTOS ELABORADOS EN UN TIEMPO MÁXIMO DE DIEZ (10) DÍAS HÁBILES.
</t>
  </si>
  <si>
    <t>(N° de análisis resueltos en un tiempo igual o inferior a lo reglamentado en el SGC / N° de análisis resueltos)*100.</t>
  </si>
  <si>
    <t>Mide el porcentaje de análisis de aguas resueltos en un tiempo igual o inferior a lo reglamentado en el SGC.</t>
  </si>
  <si>
    <t>PORCENTAJE (%) DE ENCUESTA DE SATISFACCIÓN CALIFICADAS POR LOS USUARIOS DE ANÁLISIS DE AGUAS CON UNA NOTA SUPERIOR O IGUAL A TRES PUNTO CINCO (3.5) SOBRE CINCO (5.0).</t>
  </si>
  <si>
    <t>De 80% a 94.9%</t>
  </si>
  <si>
    <t>N° DE PLANES DE MANTENIMIENTO PREVENTIVO Y CALIBRACIÓN ELABORADOS E IMPLEMENTADOS.</t>
  </si>
  <si>
    <t>N° de planes de mantenimiento preventivo y calibración elaborados e implementados.</t>
  </si>
  <si>
    <r>
      <t xml:space="preserve">Mide el número de  planes de mantenimiento preventivo y calibración elaborados e implementados, con el fin de contribuir en la minimización o anulación de la </t>
    </r>
    <r>
      <rPr>
        <i/>
        <sz val="11"/>
        <color theme="1"/>
        <rFont val="Verdana"/>
        <family val="2"/>
      </rPr>
      <t>"insatisfacción y/o pérdida de Usuarios del Laboratorio".</t>
    </r>
  </si>
  <si>
    <t>Un (1) plan de mantenimiento preventivo y calibración  de los equipos  del Laboratorio elaborados e implementados.</t>
  </si>
  <si>
    <r>
      <t xml:space="preserve">Lider del Proceso </t>
    </r>
    <r>
      <rPr>
        <sz val="8"/>
        <color theme="1"/>
        <rFont val="Verdana"/>
        <family val="2"/>
      </rPr>
      <t>(Subdirector de Planeación y Ordenamiento Territorial, Coordinador(a) del Laboratorio de Análisis de Aguas, Subdirector Administrativo y Financiero)</t>
    </r>
  </si>
  <si>
    <t>Programada / Aprobada</t>
  </si>
  <si>
    <t>Tipo de Programa</t>
  </si>
  <si>
    <t>PICCAP Instituto Nacional de Salud</t>
  </si>
  <si>
    <t>IDEAM</t>
  </si>
  <si>
    <t>Laboratorio Departamental de Salud Pública</t>
  </si>
  <si>
    <t>Otros</t>
  </si>
  <si>
    <t>P</t>
  </si>
  <si>
    <t>A</t>
  </si>
  <si>
    <t>%</t>
  </si>
  <si>
    <t>*De los resultados del PICCAP, no se aprobaron 7 pruebas, de las cuales 4 fueron del primer envío relacionadas a  3  de microbiología debido a fallas en el procedimiento donde no se confirmó el resultados por tres métodos sino por uno solo. En los tres envios se aprobó la prueba de color debido a que la prueba no se encontraba validada y se presentaban errores en  la ejecución del procedimiento.
*De las veintiseis, no se aprobraron dos,  la prueba de nitrato y cloro total residual debido a fallas en  el desarrollo de los procedimientos.
*Inicialmente  se tenía programado 12 pruebas de intercalibración con otros laboratorios, pero por motivos logísticos y presupuestales sólo se pudo hacer 6 pruebas, de las cuales se aprobaron 4; las 2  faltantes no se partició en su momento por falta de reactivo para su desarrollo..</t>
  </si>
  <si>
    <t xml:space="preserve">*Se programaron para el 2013 con el PICCAP 96 pruebas y con el IDEAM 34.
*Del PICCAP se obtuvo sólo un resultado insatisfactorio para COT, debido a que no se cuenta con el equipo digestor necesario para realizar la prueba correctamente. 
*Respecto a las del IDEAM, sólo en el mes de diciembre se recibieron las muestras para realizar las pruebas, en el mes de enero de 2014 se realizaron los análisis y se enviaron los resultados, se está a la espera de la calificación por parte del IDEAM. 
</t>
  </si>
  <si>
    <t>Microbiológicos y/o potables elaborados en un tiempo máximo de siete (7) días hábiles.</t>
  </si>
  <si>
    <t>Concesiones de aguas y/o permisos de vertimientos elaborados en un tiempo máximo de diez (10) días hábiles.</t>
  </si>
  <si>
    <t>Seguir la gestión en el cumplimiento, especialmente en los análisis  microbiológicos y/o potables. Los datos de concesiones y/o permisos de vertimientos corresponden a los meses de octubre, noviembre y diciembre.</t>
  </si>
  <si>
    <t>Seguir la gestión en el cumplimiento, especialmente en los análisis  microbiológicos y/o potables.</t>
  </si>
  <si>
    <t>Respecto a la vigencia anterior hubo un incremento aproximado del 50%  en los análisis efectuados y en gran parte de la vigencia no se contó con los suficientes analistas.</t>
  </si>
  <si>
    <t>Microbiológicos y/o potables elaborados en un tiempo máximo de siete (7) días hábile</t>
  </si>
  <si>
    <t>Subtotal Microbiológicos y/o Potables</t>
  </si>
  <si>
    <t>Subtotal Concesiones de Aguas y/o Permisos de Vertimientos</t>
  </si>
  <si>
    <t xml:space="preserve">N° de encuestas de satisfacción calificadas por los Usuarios de análisis de aguas. </t>
  </si>
  <si>
    <r>
      <t xml:space="preserve">Análisis y toma de acciones respecto a las siguientes opiniones de los Usuarios: 
</t>
    </r>
    <r>
      <rPr>
        <i/>
        <sz val="14"/>
        <color theme="1"/>
        <rFont val="Verdana"/>
        <family val="2"/>
      </rPr>
      <t xml:space="preserve">-“Me gustaría que me informaran por este medio o telefónicamente cuando los resultados estén listos, para así tomar decisiones correctivas más oportunas dentro de la planta" Emerson Garces Martínez. Gaseosas de Córdoba S.A. Chigorodó”.
-“Que una pueda comprar los recipientes para almacenar el agua a la cual le van a realizar los análisis y no tenga que desplazarse hasta allá.
</t>
    </r>
  </si>
  <si>
    <r>
      <t xml:space="preserve">Analisis y toma de acciones respecto a las siguientes opiniones de los usuarios:  
</t>
    </r>
    <r>
      <rPr>
        <i/>
        <sz val="14"/>
        <color theme="1"/>
        <rFont val="Verdana"/>
        <family val="2"/>
      </rPr>
      <t xml:space="preserve">"Cumplimiento de horario establecido y de los resultados".
"Me gustaría se reforzará la parte de entrega de resultados en la oficina Apartadó".
</t>
    </r>
  </si>
  <si>
    <t>Los datos con corte a octubre es del 0% y el consolidado del año fue del 75%</t>
  </si>
  <si>
    <t xml:space="preserve">Por medio del Acta Nº300-01-04-18-0204 del 8 de octubre de 2012, se establecieron cuatro acciones  las cuales están programadas para realizarse entre el mes de octubre 2012 y el primer semestre del 2013.
A la fecha se han realizado las siguientes actividades:
*Capacitación en los documentos del proceso del Laboratorio de Análisis de Aguas.
*Capacitación en el tema "Toma, Transporte y Remisión de Muestras", a funcionarios o contratistas que realizan muestreos. 
*Se terminó de validar el módulo del aplicativo CITA - Laboratorio de Análisis de Aguas y esta listo para la implementación con la información de los análisis de aguas del año 2013. 
Falta gestionar la compra de una planta eléctrica para garantizar el servicio y la preservación de las muestras y de los análisis en proceso, lo cual tiene plazo de cumplimiento el 30/06/2013. </t>
  </si>
  <si>
    <t>Para el primer semestre por medio del acta del 1 de abril del 2013, se estableció la acción “Se realizaran revisiones de las solicitudes y recepciones con una periodicidad semanal”, para cumplir con los establecido en el sistema de gestión de calidad del laboratorio Para el segundo semestre por  medio del acta del 25 de octubre del 2013, se estableció la acción “Se realizaran revisiones diarias de la cadena de custodia y se capacitaá al técnico encargado del almacenamiento y fijación de las muestras, teniendo énfasis en sus código y orden de análisis”. Para dar cumplimiento en los tiempos de análisis de acuerdo a lo establecido en el SGC, se  vinculó a la planta temporal de la Corporación al Ingeniero Químico Freydel Esteban Arango desempeñandose en el área fisicoquímica.</t>
  </si>
  <si>
    <t xml:space="preserve">En la presente vigencia, en el Banco de Proyectos se encuentran registrados 101 proyectos (corporativos y externos) con corte al 31 de diciembre, de los cuales se han evaluado a la fecha 78 proyectos cumpliendo con los términos del Sistema de Gestión Corporativo, respondiendo a los proponentes en un tiempo menor a 30 días hábiles. </t>
  </si>
  <si>
    <t xml:space="preserve"> "Todo bién".
- "Creo que falta continuidad para que hagamos cosas en la comunidad".
- "Que integren mas a la comunidad y que continuen con el proyecto".
Fomento al Establecimiento y Mantenimiento de Hectáreas con Coberturas Forestales Productora  - TSE
- "El mantenimiento de plantaciones menores de un año sea más rápido (evitar pérdidas, materia)".
- "Realizar los mantenimientos a tiempo sobre todo a las plantaciones pequeñas".
Implementación del Plan de Manejo de Humedales del Atrato
- "Que se siga apoyando en todo lo que vamos a realizar".
- "Cuando se vaya a realizar una compra  tener en cuenta  a los socios".
-  "Sugiero que  se nos tenga encuenta en las compras".
- "Cumplimiento en los proyectos".
- "Presencia en la comunidad".
Formulación e Implementación Plan de Manejo Integral UAC Darién
- "Mi sugerencia sería que hubiera sido para toda la comunidad".
-"El beneficio ideal que hubiera sido para todos".
-"Sugiero que la próxima vez deben traer un proyecto que a la vez se beneficie toda la comunidad".
-"Excelente".
</t>
  </si>
  <si>
    <r>
      <t xml:space="preserve">Convenio 087/12 Urrao: 6/6=100%
Ordenación de Cuencas: 7/7=100%
Establecimiento y Restauración de Bosques: 6/6=100%
Aplicación de la Política Nacional de Educación Ambiental: 10/10=100%
Fomento al Establecimiento y Mantenimiento de Hectáreas con Coberturas Forestales Produtora – TSE: 7/7=100%
Implementación del Plan de Manejo de Humedales del Atrato: 12/13=92,3%
Convenios de Producción Limpia, Buenas Prácticas y Reconversión: 8/8=100%
Formulación e Implementación Plan de Manejo Integral UAC Darien: 18/18=100%
</t>
    </r>
    <r>
      <rPr>
        <sz val="10"/>
        <color theme="1"/>
        <rFont val="Verdana"/>
        <family val="2"/>
      </rPr>
      <t xml:space="preserve">Convenio 087/12:
-"Recursos para el mantenimiento de la plantación".
-"Recursos para mantenimiento de la reforestación".
-"Demora en los desembolsos, por lo cual se solicita la entrega rápida".
-"Recursos para el mantenimiento de la plantación".
-"Cumplimiento de los tiempos, mayor información técnica".
-"Suministrar recursos para realizar mantenimiento a la plantación".
Ordenación de Cuencas
-"Para mi no hay sugerencia sino que sigan así gracias".
-"Mas acompañamiento para la ayuda de mantener el medio ambiente".
-"Socializar mas los proyectos a cada comunidad".
-"Darles continuidad a los proyectos para una mayor sensibilidad futura".
-"Esta clase de proyectos deben ser desarrollados en los primeros meses que empiecen las lluvias".
-"Que el terreno sea mejor y el que le toque pagar sea cumplido con el contratista".
Aplicación de la Política Nacional de Educación Ambiental
</t>
    </r>
  </si>
  <si>
    <t>Se mantienen acciones en control de tiempos con evaluaciones mensuales, se logra vincular personal por planta temporal desde el mes de abril en adelante.  Hay un mejoramiento sustancial.  Se detectan problemas de gestion con tramites en regionales.  Se mantiene analisis sobre reprocesos que deben eliminarse y se proyectan ajustes en los procedimeintos para eliminar reprocesos y desarrollar algunas etapas en forma virtual.  Se evaluan en el marco de la re-estructuración.  Aun no se registran resultados eficaces respecto a la oportunidad de respuesta de tramites.
Se mejoran procesos en materia de gestion de documentacion y se mejora el perfil en Espacio Vital.</t>
  </si>
  <si>
    <r>
      <t xml:space="preserve">Opiniones Septiembre 2013
</t>
    </r>
    <r>
      <rPr>
        <i/>
        <sz val="11"/>
        <color theme="1"/>
        <rFont val="Verdana"/>
        <family val="2"/>
      </rPr>
      <t>-"Hacer mas evidente el componente de incentivos".
-"Dar incentivos, reconocimientos y ascensos a funcionarios que se destaquen y con mayor antiguedad en la entidad".
-"No podemos confundir capacitación y formación con charlas informativas que hacen en particular algunas personas".
-"Las regionales deben de tenerse más en cuenta en el desarrollo de las diferentes actividades de bienestar social".
-"En el caso de las actividades de bienestar social, es importante que se respeten las programaciones realizadas, que no se queden en el papel, es importante que se realice con el personal actividades que ayuden a integrar y  a descansar".
-"Considero que cuando se reciben capacitaciones se debe retroalimetar a varios funcionarios, de manera que el conocimiento no se quede en unos cuantos".
-"Realizar programación de actividades con la debida antelación y sistematización sin depender de lo que nos facilitan externamente".
-"Falta mas capacitaciones al personal y no he sabido de incentivos del personal".
-"Cumplimiento del plan en alto porcentaje".
-"Se debe aumentar el número de actividades de bienestar social (recreación)".</t>
    </r>
    <r>
      <rPr>
        <i/>
        <sz val="14"/>
        <color theme="1"/>
        <rFont val="Verdana"/>
        <family val="2"/>
      </rPr>
      <t xml:space="preserve">
</t>
    </r>
    <r>
      <rPr>
        <sz val="14"/>
        <color theme="1"/>
        <rFont val="Verdana"/>
        <family val="2"/>
      </rPr>
      <t xml:space="preserve">
</t>
    </r>
  </si>
  <si>
    <r>
      <t xml:space="preserve">Opiniones Febrero 2014
</t>
    </r>
    <r>
      <rPr>
        <i/>
        <sz val="12"/>
        <color theme="1"/>
        <rFont val="Verdana"/>
        <family val="2"/>
      </rPr>
      <t>-"Se elabore y/o difunda el Plan Anual de Formación, Capacitación, Bienestar Social".
-"Desde la Dirección se debe fortalecer el Plan  de Bienestar Social e Incentivos".
-"Ni siquiera fué conocido por los funcionarios y menos quienes participaron".
-"Para el 2014 se requiere conocer por todo el personal el numeral 1".
-"Formular un verdadero Plan de Formación, Capacitación, etc".
-"Estos temas de la encuesta soy funcionario nueva, por ende no he participado aún".
-"Mas compromiso con actividades de Bienestar Social".
-"Tener en cuenta las necesidades y fortalezas de cada área para brindar allí las capacitaciones que se requieran".
-"Actividades a realizar fuera de las instalaciones. 1 viernes cada mes mes o cada 2 meses en la tarde: Una caminata ecológica o montar en cicla o tarde de piscina. O cada tres meses...o tarde de cine o charla de música....yo hablo de música. O una tarde lúdica, con chistes historias, cuentos, teatro, cine, poesía...con las Cajas de Compensación o un club de lectura como "Corpolectura".
-"Las capacitaciones deben garantizar calidad a través del personal idoneo. Actividades lúdicas".
-"Si unimos formación y capacitación con Bienestar Social e incentivos del personal, se pierde el año".</t>
    </r>
  </si>
  <si>
    <r>
      <t xml:space="preserve">Opiniones Septiembre 2013
</t>
    </r>
    <r>
      <rPr>
        <i/>
        <sz val="12"/>
        <color theme="1"/>
        <rFont val="Verdana"/>
        <family val="2"/>
      </rPr>
      <t>-"El espacio donde funciona la oficina de la Regional (Urrao) no es el más adecuado. Hay problemas de temperatura y de goteras, estamos en una edificación antigua con problemas de seguridad".
-"En La Corporación se observa el compromiso por mejorar en recursos e infraestructura".
-"Adecuar la Regional con equipos faltantes para una buena operación, escaner, cámara digital (Nutibara)".
-"Tuve un requerimiento y lo entregado no cumplió con las expectativas frente al producto utilizado con anterioridad - equipo de cómputo, motocicletas".</t>
    </r>
    <r>
      <rPr>
        <sz val="14"/>
        <color theme="1"/>
        <rFont val="Verdana"/>
        <family val="2"/>
      </rPr>
      <t xml:space="preserve">
Opiniones Febrero 2014
</t>
    </r>
    <r>
      <rPr>
        <i/>
        <sz val="12"/>
        <color theme="1"/>
        <rFont val="Verdana"/>
        <family val="2"/>
      </rPr>
      <t>-"El ruido es más por los mismos funcionarios, en muchos casos hablan durísimo".
-"La iluminación de las oficinas...en lo posible el color de la pintura debe ser blanco".
-"Adecuación general de las instalaciones y seguimiento en los procedimientos".
-"Se requiere con urgencia el aire acondicionado para el área de archivo central y fumigación".</t>
    </r>
  </si>
  <si>
    <t>PROCESO DI: DIRECCIONAMIENT DEL SISTEMA DE GESTIÓN CORPORATIVO</t>
  </si>
  <si>
    <t>Regional Nutibara</t>
  </si>
  <si>
    <t>Regional Atrato</t>
  </si>
  <si>
    <t>Regional Caribe</t>
  </si>
  <si>
    <t>Regional Urrao</t>
  </si>
  <si>
    <t>Regional Centro</t>
  </si>
  <si>
    <t>Todas las Regionales</t>
  </si>
  <si>
    <r>
      <t>Analisis y toma de acciones respecto a las siguientes opiniones de los usuarios:  
-</t>
    </r>
    <r>
      <rPr>
        <i/>
        <sz val="14"/>
        <color theme="1"/>
        <rFont val="Verdana"/>
        <family val="2"/>
      </rPr>
      <t>"De acuerdo al aspecto N° 2, considero que se puede mejorar en el tiempo de entrega de los resultados, que en lugar de ser 4 días, se puedan obtener de un día para otro o máximo 2 días, considerando que hay situaciones urgentes del usuario que le exigen prontitud".</t>
    </r>
    <r>
      <rPr>
        <b/>
        <i/>
        <sz val="14"/>
        <color theme="1"/>
        <rFont val="Verdana"/>
        <family val="2"/>
      </rPr>
      <t xml:space="preserve">
-</t>
    </r>
    <r>
      <rPr>
        <i/>
        <sz val="14"/>
        <color theme="1"/>
        <rFont val="Verdana"/>
        <family val="2"/>
      </rPr>
      <t>"Sería bueno que en la factura se detallara los análisis que están cobrando. Para un mejor control de los costos".</t>
    </r>
    <r>
      <rPr>
        <b/>
        <i/>
        <sz val="14"/>
        <color theme="1"/>
        <rFont val="Verdana"/>
        <family val="2"/>
      </rPr>
      <t xml:space="preserve">
</t>
    </r>
  </si>
  <si>
    <t>Total Análisis</t>
  </si>
  <si>
    <t>Análisis microbiológicos y/o potables elaborados en un tiempo máximo de siete (7) días hábiles.</t>
  </si>
  <si>
    <t>Análisis Concesiones de aguas y/o permisos de vertimientos elaborados en un tiempo máximo de diez (10) días hábiles.Concesiones de aguas y/o permisos de vertimientos elaborados en un tiempo máximo de diez (10) días hábiles.</t>
  </si>
  <si>
    <t>Análisis.</t>
  </si>
  <si>
    <t xml:space="preserve"> N° de Análisis  resueltos.</t>
  </si>
  <si>
    <t xml:space="preserve">Porcentaje (%) de análisis resueltos en un tiempo igual o inferior a lo reglamentado en el SGC.
</t>
  </si>
  <si>
    <t>N° de Análisis resueltos en un tiempo igual o inferior a lo reglamentado en el SGC.</t>
  </si>
  <si>
    <t>% de Pruebas PICCAP Instituto Nacional de Salud Aprobadas</t>
  </si>
  <si>
    <t>% de Pruebas IDEAM Aprobadas</t>
  </si>
  <si>
    <t>% de Pruebas Laboratorio Departamental de Salud Pública Aprobadas</t>
  </si>
  <si>
    <t>% de Pruebas Otros Aprobadas</t>
  </si>
  <si>
    <t>Total Pruebas de Intercalibración Aprobadas</t>
  </si>
  <si>
    <r>
      <t xml:space="preserve">Opiniones Agosto 2014
</t>
    </r>
    <r>
      <rPr>
        <i/>
        <sz val="12"/>
        <color theme="1"/>
        <rFont val="Verdana"/>
        <family val="2"/>
      </rPr>
      <t>-"Cambio de orinales en baños hombres".
-"Agilizar un poco en la entrega de equipos, mayor número de equipos de cómputo".
-"Adecuación de la planta física".
-"Punto N°1 - aclarar y definir en el procedimiento de gestión de recursos el papel del supervisor y el coordinador (R-RI-20)".
-"Dotar a las regionales de los equipos y herramientas (escaner - video beam- fotocopiadora) para cumplir con los ajustes en los aplicativos CITA". 
-"Mejorar la iluminación de la oficina de Cañagordas".
-"Es pertinente que algunos espacios se considere la pertinencia es el uso de modulares".
-"Desarrollar un mejor direccionamiento del servicio de conformidad con la competencia del funcionario a prestar el servicio".
-"Solo el resultadoen el item 4 por falta de iluminación".
-"El procedimiento de salida de equipos es complejo, se hace dificil encontrar el formatos en la carpeta pública".
-"Acceso mas fácil a aplicativos y software libres que facilitan mayor independencia pa formular conceptos y propuestas".</t>
    </r>
  </si>
  <si>
    <r>
      <t xml:space="preserve">Opiniones Agosto 2014
</t>
    </r>
    <r>
      <rPr>
        <i/>
        <sz val="12"/>
        <color theme="1"/>
        <rFont val="Verdana"/>
        <family val="2"/>
      </rPr>
      <t>-"Hay que generar incentivos pues son muy pocos, igualmente las capacitaciones desarrolladas".
-"Disponer de un plan que realmente incluya y cuente con el personal".
-"Idear mecanismos para que el personal de las regionales tenga más fácil acceso a este plan".
-"Más apoyo a los funcionarios en capactiación y/o formación en el área competente".
-"Incentivar al personal como se propone".
-"Considero deben habén mas espacios para la integración actividad físico y crecimiento personal".
-"Realizar mayor número de actividades de capacitación para los funcionarios de las diferentes áreas, para así mejorar la prestación del servicio".</t>
    </r>
  </si>
  <si>
    <t xml:space="preserve">Estimular la interiorización y cumplimiento de los Valores Éticos Corporativos por parte de los Funcionarios de CORPOURABA.
</t>
  </si>
  <si>
    <t xml:space="preserve">Aprovechamiento Forestal </t>
  </si>
  <si>
    <t>%  Tramites Aprovechamiento Forestales Cumpliendo la Meta de Revisión Documental</t>
  </si>
  <si>
    <t>%  Tramites Aprovechamientos Forestales Cumpliendo la Meta de Revisión en Campo</t>
  </si>
  <si>
    <t>%  Tramites Concesión de Aguas Superficiales Cumpliendo la Meta de Revisión Documental</t>
  </si>
  <si>
    <t>%  Tramites Concesión de Aguas Superficiales Cumpliendo la Meta de Revisión en Campo</t>
  </si>
  <si>
    <t>%  Tramites Concesión de Aguas Subterráneas Cumpliendo la Meta de Revisión Documental</t>
  </si>
  <si>
    <t>%  Tramites Concesión de Aguas Subterráneas Cumpliendo la Meta de Revisión en Campo</t>
  </si>
  <si>
    <t>%  Tramites Permisos de Vertimientos Cumpliendo la Meta de Revisión Documental</t>
  </si>
  <si>
    <t>%  Tramites Permisos de Vertimientos Cumpliendo la Meta de Revisión en Campo</t>
  </si>
  <si>
    <t>%  Tramites Permisos de VertimientosCumpliendo la Meta de Revisión en Campo</t>
  </si>
  <si>
    <r>
      <t xml:space="preserve">Centro
</t>
    </r>
    <r>
      <rPr>
        <sz val="14"/>
        <color theme="1"/>
        <rFont val="Verdana"/>
        <family val="2"/>
      </rPr>
      <t xml:space="preserve">
</t>
    </r>
  </si>
  <si>
    <r>
      <t xml:space="preserve">Opiniones  de los usuarios en el desarrollo de la encuesta.
</t>
    </r>
    <r>
      <rPr>
        <sz val="12"/>
        <color theme="1"/>
        <rFont val="Verdana"/>
        <family val="2"/>
      </rPr>
      <t xml:space="preserve">-Considero que los trámites con la Corporación son muy demorados se debe dar cumplimiento a los tiempos establecidos.
-Evaluar el tiempo de los trámites, para que estos sean mas rápidos.
</t>
    </r>
  </si>
  <si>
    <r>
      <t xml:space="preserve">Opiniones  de los usuarios en el desarrollo de la encuesta.
</t>
    </r>
    <r>
      <rPr>
        <sz val="12"/>
        <color theme="1"/>
        <rFont val="Verdana"/>
        <family val="2"/>
      </rPr>
      <t>-Excelente.</t>
    </r>
  </si>
  <si>
    <t xml:space="preserve">Caribe
</t>
  </si>
  <si>
    <t xml:space="preserve">Nutibara
</t>
  </si>
  <si>
    <t xml:space="preserve">Atrato
</t>
  </si>
  <si>
    <t>No ha habido  sugerencias u opiniones.</t>
  </si>
  <si>
    <r>
      <t xml:space="preserve">Centro: 26/27= 96%
Caribe: 4/4= 100%
Nutibara: 5/5= 100%
Urrao: 2/2= 100%
Atrato: 21/21=100%
Total: 58/59=98%
Análisis y toma de acciones respecto a las siguientes opiniones de los Usuarios: 
</t>
    </r>
    <r>
      <rPr>
        <i/>
        <sz val="12"/>
        <color theme="1"/>
        <rFont val="Verdana"/>
        <family val="2"/>
      </rPr>
      <t>-"Revisar los requerimientos exigidos para este y otros requerimientos. Ejemplo: Cédula, mapa, cédula".
-"El trámite inicial se hizo en enero del año 2012 pero se transpapeló y se inicio nuevamente el trámite en marzo 2013, para esta ocasión se gestionó mejor pero finalmente nos retrasamos mas de un año".
-"La sala de espera es muy pequeña y hace mucho calor, se podría mejorar y hacerlo mas comodo".
-"El servicio prestado es excelente".
-"Excelente".
-"El tiempo de entrega no se cumple".
-"Que sean mas agiles en el otorgamiento de los trámites, ya que cuando uno tramita una licencia de aprovechamiento forestal o porque se requiere rápido.
-"Agilizar los trámites en el tiempo asignado".
-"Que reduzcan los tiempos en el otorgamiento de los permisos".</t>
    </r>
    <r>
      <rPr>
        <sz val="14"/>
        <color theme="1"/>
        <rFont val="Verdana"/>
        <family val="2"/>
      </rPr>
      <t xml:space="preserve">
Respecto a las opiniones de los Usuarios, en lo relacionado a la  oportunidad se  revisará y/o replanteará las acciones de control y seguimiento para el cumplimiento de los términos de trámites ambientales, incluyendo las establecidas en los servicios no conformes,  y frente a la comodidad se han realizado mejoras en los sitios de espera de los Usuarios.
</t>
    </r>
  </si>
  <si>
    <t>Centro: 17/18= 94%
Caribe: 3/3= 100%
Nutibara: 3/3= 100%
Urrao: 8/8= 100%
Atrato: 7/7=100%
Total: 38/39=97%</t>
  </si>
  <si>
    <t>Para el año 2014 se tiene programado tres envios al instituo Nacional de Salud correspondientes al programa PICCAP, se analizan  17 parametros, que corresponden en el año a 96 análisis, por cada envio se realizan 32 analisis.  Ya se obtuvieron los resultados del primer envío, el segundo envío se tiene programado para el mes de octubre y el tercero para diciembre.                                                                                                                              En cuanto al IDEAM en el mes de abril se obtuvieron los resultados que empiezan a regir para el año 2014 apesar de haber recibido el material de ensayo en el año 2013, por lo tanto y por sugerencia de los auditores del IDEAM, estos resultados se tendran en cuenta para este año, los del 2012 en el 2013, los del 2011 en el 2012 y así sucesivamente. Los resultados obtuvidos por el IDEAM de las 11 pruebas acreditadas solamente se obtuvo rendimiento insatisfactorio para DQO rango bajo, donde se presume que se presentó perdida del analito en el proceso de digestión de la  muestra. De las 5 que se encuentran en proceso de acreditación (potasio, cloro, color, ph y turbidez) dos presentaron resultado insatisfactorio, para Cloro residual total se analizó la inestabilidad del analito y para Potasio se establece la necesidad de adquirir agua grado hplc para mejorar la linea base.</t>
  </si>
  <si>
    <t xml:space="preserve">Opiniones  de los usuarios en el desarrollo de la encuesta.
-El tiempo de respuesta para la concesión de aguas es muy largo, la notificación de la Resolución se demora.
-El trámite de ocupación de cauce es de gran importancia para el desarrollo del proyecto de mejoramiento de vías.
-El tiempo de respuesta para la concesión de aguas es muy largo, la notificación de la Resolución se extiende demasiado. 
-El tiempo de respuesta para la concesión de aguas es muy largo, la notificación de la Resolución se demora mucho.
-El trámite de ocupación de cauce genera una mayor ventaja en cuanto avance del permiso.
-El tiempo de respuesta para la concesión de aguas es muy largo, la notificación de la Resolución se demora.
</t>
  </si>
  <si>
    <t>·    Establecimiento Indicadores y Riesgos Corporativos por Procesos. 12/05/2014.</t>
  </si>
  <si>
    <t xml:space="preserve">·    Mediante Resolución Aprobatoria 300-03-10-23-0721-2014 del 30/05/2014, se aprobó el “Mapa de Riesgos por procesos para la vigencia 2014”. Actualmente se están implementando las acciones planteadas dentro del mismo, con el fin de evitar, minimizar o asumir los factores de riesgo que pueden llegar a afectar el cumplimiento de los objetivos de la Corporación. </t>
  </si>
  <si>
    <t>·    No se evidencia realizada ninguna acción.</t>
  </si>
  <si>
    <t>·    Se coordinó con el apoyo de los Líderes de Procesos, el establecimiento del “Plan Anticorrupción para la Vigencia 2014”.</t>
  </si>
  <si>
    <t>·    Mediante Resolución 300-03-10-23-0721-2014 del 30/05/2014 se aprobó el “Plan Anticorrupción para la Vigencia 2014”. Actualmente se están implementando las acciones planteadas dentro del mismo</t>
  </si>
  <si>
    <t xml:space="preserve">Realizada la revisión periódica de los documentos de los procesos del SGC y actualizada la información en la Intranet. Los funcionarios están aplicando los manuales, procedimientos, documentos y/o formatos que se encuentran en la Intranet:
• Gestión Financiera y Contable. Resolución 300-03-10-23-0665 del 20/05/2014.
• Gestión de Proyectos. Resolución 300-03-10-23-0678 del 23/05/2014.
• Mejoramiento del SGC. Resolución 300-03-10-23-0713 del 28/05/2014.
• Planeación Global del Territorio. Resolución 300-03-10-23-0775 del 12/06/2014.
• Direccionamiento del SGC. Resolución 300-03-10-23-0863 del 24/06/2014.
• Gestión de Recursos e Infraestructura. Resolución 300-03-10-23-0897 del 27/06/2014.
• Laboratorio de Análisis de Aguas. Resolución 300-03-10-23-0918 del 04/07/2014.
• Gestión de Talento Humano. Resolución 300-03-10-23-0963 del 14/07/2014.
• Aplicación de la Autoridad Ambiental. Resolución 300-03-10-23-1254 del 30/08/2014, 300-03-10-23-1264 del 04/09/2014, 300-03-10-23-1271 del 06/09/2014, 300-03-10-23-1304 del 11/09/2014
</t>
  </si>
  <si>
    <t xml:space="preserve">• Reinducción, documentos financiera y contratación. 03/02/2014.
• Acciones de Mejoramiento. 28/05/2014.
• Inducción Corporativa y Proceso Aplicación de la Autoridad (Manuales, procedimientos, documentos y formatos). 29/05/2014.
• Documentos Sistema de Gestión Corporativo
Vigía del Fuerte –Sede Regional Atrato. 22/07/2014.
• Revisión Procedimientos –Documentos SGC Proceso Aplicación de la Autoridad Ambiental.  Apartadó 31/07/2014.
• Documentos Sistema de Gestión Corporativo. Urrao 12/08/2014.
• Documentos Sistema de Gestión Corporativo. Cañasgordas 14/08/2014.
</t>
  </si>
  <si>
    <t>• Estrategia de Gobierno en Línea. 10/03/2014.</t>
  </si>
  <si>
    <t xml:space="preserve">A la fecha se tiene un avance de cumplimiento del 52% del Plan de Acción GEL que contempla las actividades para dar cumplimiento al Manual 3.1 en lo que corresponde a la vigencia 2014.
Se ha realizado lo siguiente:
• Plan de participación Ciudadana: Se le dio cumplimiento en el 50% con la audiencia pública de informe de gestión realizada el 19 de abril del presente año, se elaboró un tema de foro y se recibió participación de los usuarios externos, se generó la opción de que los usuarios externos participaran de la audiencia desde su casa a través del canal USTREAM.
• Se creó el plan verde y se incorporó en el PIGA aprobado para el año 2014 de la entidad, donde se realiza un procedimiento de como reciclar los residuos tecnológicos de la entidad.
• Se tiene actualizado el sitio web con la información básica de la entidad hasta la fecha
• Se han sensibilizado a los usuarios en el manejo de los residuos peligros y reciclaje a través de una jornada lúdica, que realizó por la corporación Camaleón.
• Se actualizo la política editorial del sitio web, pensando en el usuario, de tal forma que la información cada día sea la requerida.
• Se han realizado las respuestas de las PQRS en el tiempo estipulado por la norma de acuerdo a los casos
Falta a la fecha el plan de transición de IPV4 a IPV6 y su implementación, el plan de seguridad informática y su implementación, la integración del aplicativo PQRS con la TRD y la integración con las denuncias de infracción ambiental.
</t>
  </si>
  <si>
    <t xml:space="preserve">• Auditorías internas. 06/02/2014.
• Auditoría interna para oficinas de control interno. 06, 07 y 08/03/2014.
• Formación de Auditores Internos ISO/IEC 17025:2005. 25, 26 y 27/06/2014.
</t>
  </si>
  <si>
    <t xml:space="preserve">• Mediante Resolución 110-03-30-99-0095-2014 del 16/01/2014 se aprobó el “Plan de Actividades de Control Interno”. Actualmente tiene un avance de cumplimiento del 40%. 
• Mediante Resolución 300-03-10-23-2229-2013 del 26/12/2014 se aprobó el “Programa de Auditoría Interna para la Vigencia 2014”. El programa se cumplió en un 100%.
</t>
  </si>
  <si>
    <t>• SIRECI. 17/02/2014.</t>
  </si>
  <si>
    <t xml:space="preserve">Al mes de agosto se han presentado las rendiciones de cuenta e informes a través del Sistema de Rendición Electrónica de la Cuenta e Informes – "SIRECI", en los términos definidos por La Contraloría General de la República:
• Informes mensuales de regalías: 10212014-03-31 del 10/04/2014, 10212014-04-30 del 13/05/2014, 10212014-05-31del 11/06/2014, 10212014-06-30 del 15/07/2014 y 10212014-07-31 del 20/08/2014.
• Informes trimestral de regalías: 10232014-03-31 del 10/04/2014 y 10232014-06-30 y 15/07/2014
• Informe de la rendición de la cuenta: 102122013-12-31 del 04/03/2014.
• Informe de contratación trimestral: 10232014-03-31 del 10/04/2014 y 10232014-06-30 del 15/07/2014.
• Informe de Plan de Mejoramiento semestral: 10262014-06-30 del 02/07/2014 y 10262013-06-30 del 07/07/2014.
• Informe planta de cargos y contrato: 102122013-12-31 del 24/04/2014.
• Plan de mejoramiento Plan Nacional de Recursos Hídricos: 10202014-07-17 del 06/08/2014
</t>
  </si>
  <si>
    <t xml:space="preserve">• Estrategia de Gobierno en Línea. 10/03/2014.
</t>
  </si>
  <si>
    <t xml:space="preserve">Íbidem lo referenciado acerca de la eficacia de la capacitación “Manual 3.1 para la Implementación de la Estrategia de Gobierno en Línea de la República de Colombia y/o afines” en los temas de SPOT.  </t>
  </si>
  <si>
    <t>·    Capacitación módulo Aplicación de la Autoridad Ambiental del Aplicativo CITA. Virtual Integración Web. 06-07/03/2014.</t>
  </si>
  <si>
    <t>·    Se tiene la Información de trámites ambientales actualizados en los términos establecidos en el módulo Aplicación de la Autoridad Ambiental del aplicativo CITA.</t>
  </si>
  <si>
    <t xml:space="preserve">• Reinducción, documentos financiera y contratación. 03/02/2014.
• Planeación Contractual. Apartadó 09/09/2014.
</t>
  </si>
  <si>
    <t>• Continúa realizándose la Contratación conforme a la normatividad vigente.</t>
  </si>
  <si>
    <t xml:space="preserve">• Nuevos Documentos y Formatos Gestión de Proyectos. 09/06/2014.
• Planeación Integral de Proyectos Licenciables y Lineamientos Técnicos Ambientales en el Marco de la Gestión de Riesgos en Áreas Marino Costeras. 02/07/2014.
• Formulación de Proyectos Formatos FCA. Apartadó 28/07/2014.
</t>
  </si>
  <si>
    <t xml:space="preserve">• Mediante Resolución 300-03-30-99-2049-2013 del 27/09/2013 se aprobó el “Plan Operativo Anual de Inversiones” para la vigencia 2014 y por medio de las Resoluciones 300-03-10-99-0435-2014 del 01/04/2014, 300-03-10-99-0727-2014 del 04/06/2014, 400-03-10-99-1253-2014 del 29/08/2014 se han realizado actualizaciones. El Plan tiene un 29% de cumplimiento en su parte financiera con corte al mes de Junio 
</t>
  </si>
  <si>
    <t xml:space="preserve">• Planes Municipales de Gestión del Riesgo de Desastres/Estrategia Municipal de Respuesta/FTGR/PACC.
Urrao. 20/05/2014.
Uramita. 22/05/2014
• Taller Regional Centro Estado de los PNGRD-EMR-FTGRD-PIACC. 17/06/2014.
• Reunión de Preparación ante la Temporada de Huracanes 2014 en el Caribe Colombiano, como Herramienta para la Gestión del Riesgo de Desastres. 02/07/2014.
• Índice de Calidad Ambiental Urbana - ICAU. Apartadó 15/09/2014.
• Creación de los Fondos Municipales de Gestión del Riesgo. Apartadó 23/09/2014.
</t>
  </si>
  <si>
    <t xml:space="preserve">Se ha realizado acompañamiento al 100% de los consejos municipales de gestión del riesgo de la siguiente manera:
• Capacitación a los CMGRD, se cualificó en coordinación con el DAPARD al 100% de los municipios en las siguientes fechas: Regional Urrao (20 de mayo), CMGRD municipios de la regional Nutibara (22 de mayo de 2014), CMGRD municipios regional Centro (17 de junio), CMGRD municipios regional Caribe 18 de junio), Vigía del Fuerte 9 de julio y Murindó 10 de julio y con invitación general “Creación de los Fondos Municipales de Gestión del Riesgo”. Apartadó 23/09/2014.
• Con la Unidad Nacional de Gestión de Riesgo el 12 de junio en el municipio de Uramita.
• Monitoreo de playas (3 de abril de 2014).
• Se enviaron circulares y oficios sobre el fenómeno del niño a los municipios y los CMGRD: Alertas tempranas desabastecimiento de agua e incendio forestales (23 de enero de 2014), Probabilidad de ocurrencia del fenómeno del Niño (8 de mayo de 2014), Accione para enfrentar el posible fenómeno del Niño (4 de junio), Alertas y preparativos ante la temprana de huracanes para el caribe colombiano (25 de junio de 2014).
</t>
  </si>
  <si>
    <t xml:space="preserve">• Capacitación módulo Proyectos del Aplicativo CITA. Virtual Integración Web. 20/01/2014 y 11/02/2014.
</t>
  </si>
  <si>
    <t>• Teniendo en cuenta la modificación de los procedimientos de los procesos, actualmente se están realizando ajustes a los módulos de Planeación Global y Gestión de Proyectos del aplicativo CITA.</t>
  </si>
  <si>
    <t>• Mapa de Humedales a Escala 1:100.000 v 0.1. 20/05/2014.</t>
  </si>
  <si>
    <t>• Los trámites ambientales tienen incorporada la consulta de datos geográficos.</t>
  </si>
  <si>
    <t>Otras actividades realizadas:</t>
  </si>
  <si>
    <t>• Actualización del Modelo Estándar de Control Interno MECI 2014. Bogotá 23 y 24 de julio de 2014. Socialización de capacitación Apartadó 04/08/2014.</t>
  </si>
  <si>
    <t>• Estructura Ecológica del Territorio. Medellín 20/06/2014.
• Taller para la Construcción Colectiva de los lineamientos para la Incorporación de la Gestión de Riesgo en los Instrumentos de Gestión Ambiental. Bogotá 11 y 12 de septiembre de 2014.
• Capacitación módulo Acciones para el Mejoramiento del Aplicativo CITA. Virtual Integración Web. 28/05/2014.</t>
  </si>
  <si>
    <t>• Capacitación módulo Contratación del Aplicativo CITA. Virtual Integración Web. 25/08/2014.</t>
  </si>
  <si>
    <t xml:space="preserve">• Capacitación realizada por funcionario de CORNARE entre los días 14 y 15 de mayo de 2014 en los siguientes temas:
-Acta única de control al tráfico ilegal de flora y fauna silvestre.
-Comparendo ambiental. Ley 1259 de 2008.
-Normatividad y competencia decomisos fauna y flora.
-Cubicación de madera.
-Control de tráfico y manejo de fauna silvestre.
-Procedimiento legal decomisos de productos forestales o de la flora y fauna silvestre.
-Reglamentación  flora.
• Asignación de Compensaciones por Pérdida de Biodiversidad, Inversión del 1%, Evaluación de Estudios de Impacto Ambiental y Procedimiento Administrativo Sancionatorio Ambiental. Bogotá 14 y 15/08/2014.
</t>
  </si>
  <si>
    <t>• Se realiza actualmente el cálculo y aplicación de multas de acuerdo a la normatividad vigente.</t>
  </si>
  <si>
    <t>• Se están evaluando los impactos ambientales de los trámites ambientales con base en criterios técnicos para la administración del recurso.</t>
  </si>
  <si>
    <t xml:space="preserve">• Taller Regional Centro Estado de los PNGRD-EMR-FTGRD-PIACC. 17/06/2014.
• Reunión de Preparación ante la Temporada de Huracanes 2014 en el Caribe Colombiano, como Herramienta para la Gestión del Riesgo de Desastres. 02/07/2014.
</t>
  </si>
  <si>
    <t xml:space="preserve">Íbidem lo referenciado en SPOT, respecto a la verificación de la eficacia del tema al “Gestión del Riesgo de Desastres en el marco de las funciones de CORPOURABA de acuerdo con la normatividad ambiental”.  </t>
  </si>
  <si>
    <t xml:space="preserve">Íbidem lo referenciado en SPOT, respecto a la verificación de la eficacia del tema al “Formulación de Proyectos”.  </t>
  </si>
  <si>
    <t xml:space="preserve">• Adaptación al Cambio Climático en el Cultivo de Palma de Aceite. Apartadó 08/09/2014.
</t>
  </si>
  <si>
    <t>Está en implementación la meta de “Apoyo a los 19 municipios en la formulación de los planes territoriales de adaptación del cambio climático”, la cual se encuentra dentro del Programa de Gestión de Calidad de Vida.</t>
  </si>
  <si>
    <t xml:space="preserve">• Mapa de Humedales a Escala 1:100.000 v 0.1. 20/05/2014.
• IX Curso Tecnologías de Información Aplicadas a las Zonas Marinas y Costeras. 11-13/06/2014.
</t>
  </si>
  <si>
    <t xml:space="preserve">Íbidem lo referenciado en SPOT, respecto a la verificación de la eficacia del tema al “Sistema de Información Ambiental”.  </t>
  </si>
  <si>
    <t xml:space="preserve">• Curso Teórico Práctico de Modelación Hidrogeoquímica. Apartadó 14 al 25/07/2014.
• Curso de Modelación Hidrogeoquímica en el marco del Proyecto COL 7001, con el Organismo de Energía Atómica (OIEA). Sincelejo 20 al 26/07/2014.
• Congreso Colombiano Hidrogeológico. Medellín 24/09/2014.
• Taller: Aguas Subterráneas Asociadas a la Exploración y Explotación de Yacimientos No Convencionales. Medellín 14 y 15/08/2014.
</t>
  </si>
  <si>
    <t>Se incorporó el tema, en la atención y/o emisión del concepto técnico para la resolución de trámites de concesión de aguas superficiales y/o subterráneas.</t>
  </si>
  <si>
    <t>• Curso Teórico Práctico de Realización de Sondeos Eléctricos Verticales y Tomografías, con el Equipo ABEM Terrameter SAS 1000. Apartadó 9 al 13/06/2014.</t>
  </si>
  <si>
    <t>• Servicios Ecosistémicos e Insumos para Delimitación de Humedales. 03/07/2014.</t>
  </si>
  <si>
    <t>Se tiene personal capacitado en los conceptos básicos  del tema.</t>
  </si>
  <si>
    <t>• • Capacitación módulo Aplicación de la Autoridad Ambiental del Aplicativo CITA. Virtual Integración Web. 06-07/03/2014.
• Protocolos de Gobernanza Forestal de Seguimiento y Control. 10/03/2014.
• Proyecto de Posicionamiento de la Gobernanza Forestal-Propuesta Administrativa Forestal. 28/04/2014.
• IX Curso de Tecnologías de la Información Aplicadas a las Zonas Marinas y Costeras. Santa Marta. 11,12 y 13/06/2014.
• Revisión Procedimientos –Documentos SGC Proceso Aplicación de la Autoridad Ambiental.  Apartadó 31/07/2014.
• Curso de entrenamiento de análisis de olores ofensivos. Medellín 14 al 18/07/2014. Socialización de Capacitación. Apartadó 04/08/014.
• Curso técnico en materiales peligrosos, en conformidad con la Norma NFPA 472 “Competencias del personal de respuesta a incidentes con materiales peligrosos /armas de destrucción masiva, edición 2013” y la Norma OSHA 1910.120 (q)(6)(iii) “Competencias para Técnicos en Materiales Peligrosos”. Medellín 07 al 10/08/2014.
• Evento de Formación “Primer Respondiente con Materiales Peligrosos. Apartadó 20 al 22/08/2014.
• Encuentro de Educación Ambiental, Educación Comunitaria que Transforma. Paipa Boyacá Invitación de MADS. 2 al 6/09/2014.
• Índice de Calidad Ambiental Urbana - ICAU. Apartadó 15/09/2014.
• Taller “Estrategia para la Prevención del Tráfico ilegal del Mono Aullador Rojo (Alouatta Seniculus) en Colombia”, y al Seminario – Taller “Comités Interinstitucionales de Flora y Fauna Silvestre” Medellín 17 al 19/09/2014.
• Protocolo Monitoreo de Playas. 03/04/2014.
• Taller de Socialización del Protocolo de Monitoreo de Playas MADS-INVEMAR. 18 y 19/09/2014</t>
  </si>
  <si>
    <t>Subdirección Administrativa y Financiera</t>
  </si>
  <si>
    <t xml:space="preserve">• Reinducción del Ministerio de Hacienda en los siguientes temas
-Cadena Básica Presupuestal:
 Solicitudes a la Dirección General de Presupuesto Público Nacional sobre adiciones, reducciones y traslados presupuestales que modifiquen el decreto de liquidación.
 Desagregación los rubros presupuestales.
 Asignación de apropiaciones y/o aforos a dependencias, subunidades o regionales, con el fin de ejecutar el presupuesto descentralizadamente.
-Modificaciones al cupo PAC.
-Parametrización de códigos contables con el catálogo general de la Contaduría pública. Bogotá 06/06/2014
• Comisión Taller práctico Eliminación de Saldos Contable del Aplicativo SIIF II Nación. Medellín 08/08/2014.
</t>
  </si>
  <si>
    <t>Alimentado con la información Corporativa de acuerdo a los términos establecidos por el Ministerio de Hacienda y Crédito Público, el Sistema Integrado de Información Financiera - SIIF Nación.</t>
  </si>
  <si>
    <t xml:space="preserve">• Normas de tránsito y manejo a la defensiva. 31/03/2014.
• Conceptos básicos de salud ocupacional. 07/04/2014.
• Salud visual/transferencias primarias. 05/05/2014.
</t>
  </si>
  <si>
    <t>Se está dando cumplimiento a las normas de seguridad social aplicables al accionar de La Corporación.</t>
  </si>
  <si>
    <t>• Capacitación lineamientos de calidad método estándar 2012, análisis de datos mediante interpretación cartas de control, metrología y evaluación causa raiz. Carepa. 3-7/06/2014.</t>
  </si>
  <si>
    <t>Se ajustó e implementó el procedimiento “P-5.5-01: CONTROL DE EQUIPOS DE MEDICIÓN Y/O ENSAYO” donde se verifican los diferentes equipos de medición del Laboratorio.</t>
  </si>
  <si>
    <t xml:space="preserve">• Capacitación lineamientos de calidad método estándar 2012, análisis de datos mediante interpretación cartas de control, metrología y evaluación causa raíz. Carepa. 3-7/06/2014.
• Validación de métodos fisicoquímicos. Carepa. 14/07/2014.
</t>
  </si>
  <si>
    <t>• Capacitación módulo Laboratorio de Análisis de Aguas del Aplicativo CITA. Virtual Integración Web. 25/08/2014.</t>
  </si>
  <si>
    <t>Se está a la espera que lleguen los equipos de absorción atómica, analizador de mercurio, espectrofotómetro, detector de masas para la validación de las metodologías: Metales pesados, mercurio, pesticidas, entre otros.</t>
  </si>
  <si>
    <t>El módulo del Laboratorio de Análisis de Aguas del Aplicativo CITA se encuentra en período de validación y ajuste.</t>
  </si>
  <si>
    <t xml:space="preserve">• Planes Municipales de Gestión del Riesgo de Desastres/Estrategia Municipal de Respuesta/FTGR/PACC.
Urrao. 20/05/2014.
• Creación de los Fondos Municipales de Gestión del Riesgo. Apartadó 23/09/2014
</t>
  </si>
  <si>
    <t>• Capacitación módulo Aplicación de la Autoridad Ambiental del Aplicativo CITA. Virtual Integración Web. 06-07/03/2014.</t>
  </si>
  <si>
    <t>• Se tiene la Información de trámites ambientales actualizados en los términos establecidos en el módulo Aplicación de la Autoridad Ambiental del aplicativo CITA.</t>
  </si>
  <si>
    <t>• Capacitación módulo Aplicación de la Autoridad Ambiental del Aplicativo CITA (Incluye SISF). Virtual Integración Web. 06-07/03/2014.</t>
  </si>
  <si>
    <t>• Se tiene la Información del SISF actualizada.</t>
  </si>
  <si>
    <t>• Formulación de Proyectos Formatos FCA. Apartadó 28/07/2014.</t>
  </si>
  <si>
    <t xml:space="preserve">• Taller Regional Atrato -Vigía del Fuerte - Estado de los PNGRD-EMR-FTRGRD-PTACC. 09/07/2014.
• Taller Regional Atrato -Murindó - Estado de los PNGRD-EMR-FTRGRD-PTACC. 09/07/2014.
• Creación de los Fondos Municipales de Gestión del Riesgo. Apartadó 23/09/2014.
</t>
  </si>
  <si>
    <t>• Taller Regional Caribe Estado de los PNGRD-EMR-FTGRD-PIACC. 17/06/2014.</t>
  </si>
  <si>
    <t xml:space="preserve">Íbidem lo referenciado en la Subdirección de Gestión y Administración Ambiental, respecto a la verificación de la eficacia del tema “Cambio climático”.  </t>
  </si>
  <si>
    <t xml:space="preserve">• Protocolo Monitoreo de Playas. 03/04/2014.
• Taller de Socialización del Protocolo de Monitoreo de Playas MADS-INVEMAR. 18 y 19/09/2014
</t>
  </si>
  <si>
    <t>Se están cumpliendo las funciones corporativas en el tema marino costero cumplidas en los términos establecidos por norma.</t>
  </si>
  <si>
    <t xml:space="preserve">• Taller Regional Caribe Estado de los PNGRD-EMR-FTGRD-PIACC. 17/06/2014.
• Creación de los Fondos Municipales de Gestión del Riesgo. Apartadó 23/09/2014.
</t>
  </si>
  <si>
    <t>A la fecha no se ha realizado ningún reconocimiento.</t>
  </si>
  <si>
    <t>Linea Base 2008-2012</t>
  </si>
  <si>
    <t>Linea Base 2013-2015</t>
  </si>
  <si>
    <t>Apartadó</t>
  </si>
  <si>
    <t>Carepa</t>
  </si>
  <si>
    <t>Chigorodó</t>
  </si>
  <si>
    <t>Currulao</t>
  </si>
  <si>
    <t>Vijagual</t>
  </si>
  <si>
    <t>El Caño</t>
  </si>
  <si>
    <t>Penderisco</t>
  </si>
  <si>
    <t>Peque</t>
  </si>
  <si>
    <t>Sucio</t>
  </si>
  <si>
    <t>Grande</t>
  </si>
  <si>
    <t>San Juan</t>
  </si>
  <si>
    <t>Tonusco</t>
  </si>
  <si>
    <t>Turbo</t>
  </si>
  <si>
    <t>Volcán</t>
  </si>
  <si>
    <t>Guadualito</t>
  </si>
  <si>
    <t>Litoral</t>
  </si>
  <si>
    <t>Al tercer trimestre de 2014 estamos cumplimiernto con la meta de este indicador, esto debido al cruce permanente entre las áreas de contabilidad y cobro coactivo para hacer mas efectivo las funciones en materia de cobros a traves de la firma de acuerdos de pago con las diferentes administraciones municipales y con usuarios de la Corporación, al igual se implemento estrategias de cobro en el área finanicera mediante comunicación permanente con las Secretaría de Hacienda de los municipios para el cumplimiento de la cuota pactada.</t>
  </si>
  <si>
    <t>En la Vigencia 2014 se han facturado $2,395'960.364 correspondiente al 4° trimestre de 2013 y el 1°y2° de 2014, de los cuales se ha recaudado $2,025.502.569 que equivale a un 85% de lo facturado, por lo cual nos permite un buen comportamiento por este ingreso generado por las políticas permanentes de cobro implementadas por el área financiera a traves de la comunicación permanente con las Secretarias de Hacienda de los municipios.</t>
  </si>
  <si>
    <t>La cuencas priorizadas como fuente receptortas de vertimientos cuentan con reducción mayor del 1%  de acuerdo al quinquenio 2008-2012. para el quinquenio 2013-2017, se establecio nueva linea base de carga contaminante, teniendo en cuenta los nuevos usuarios identificados que generan vertimientos, razon por la cual aumenta la carga contaminante vertida. esta se establecen en el Acuerdo 01 de 2014.</t>
  </si>
  <si>
    <t>La cuencas priorizadas como fuente receptoras de vertimientos cuentan con reducción del 1% anual de acuerdo al PAC 2012-2015. Adicionalmente las cargas de Línea Base 2013-2015 considera las estipuladas en el Acuerdo 01 de 2014. Como se aprecia, los valores negativos informan un incremento en la carga contaminante. La información de la carga contaminante real 2014, se obtiene y analiza en el primer semestre de la vigencia 2015. En el año 2013, se presenta un incremento en la carga contaminante por la actualización de datos en los vertimientos realizados en el casco urbano del Municipio de Urrao, lo cual generó un resultado negativo en el indicador.</t>
  </si>
  <si>
    <t xml:space="preserve">Se presento cumplimiento a la meta de seguimiento tanto en campo como documental dando un resultado satisfactorio, se debe procurar continuar con esta gestion para mantener este nivel.  </t>
  </si>
  <si>
    <t>Se presento cumplimiento a la meta de seguimiento tanto en campo como documental dando un resultado satisfactorio, se debe procurar continuar con esta gestion para mantener este nivel.  Se debe cambiar nombre de la columna por "Porcentaje de autorizaciones arealizar seguimiento en el año".</t>
  </si>
  <si>
    <t xml:space="preserve">Para el presente año se obseva un comportamiento satisfactorio, se debe tener presente  </t>
  </si>
  <si>
    <t xml:space="preserve">En el primer semestre la Rgional Atrato, en territorio de comunidades negras (mas del 100%) y en Urrao, comunidades campesinas (149%) se ha superado el volumen maximo permisionable.  Lo que exige tomar medidas de revision de áreas, censos y tomar previsiones para reducir voliumen autorizado.   
</t>
  </si>
  <si>
    <t xml:space="preserve">Se continuan realizando cortes mensuales. Se redujeron pasos en los procedimeintos con el fin de posibilitar cumplimiento de tiempos, se implemento en el procedimento y al parecer ha tenido buen efecto hay un mejoramiento entre el 1 y el 2 y 3er trimestre.Se implementaron alarmas para tramites en proceso, aun se requiere asegurar adecuado uso, y manejo.En general se obtuvo un avance significativo en el cumplimiento del tiempo definido para la respuesta de los tramites adelantados,  lo cual demuestra que los procesos implementados han dado resultado, sin embargo aun se requiere realizar mejora continua en el tramite de permiso de vertimiento para garantizar en todo momento respuesta satisfactoria.  </t>
  </si>
  <si>
    <t xml:space="preserve">La realización del monitoreo mensual y revisión con funcionarios de las áreas (espacio Vital, SGAA, Oficina Jurídica y Regionales) a la bases de datos de trámites, especialmente de aquellos que están en riesgo según alarma en el CITA han permitido mejorar en el indicador de cumplimiento de términos para la resolución de trámites. Es de anotar que respecto a los requisitos de los usuarios, el tema de la oportunidad es donde se ha tenido mayor dificultad en el cumplimiento y en gran parte obedece a  la limitada planta de personal actual. 
Se requiere mantener  re-entrenamiento para la aplicación del procedimiento “P-MJ-01 Control de documentos y registros" y en recordar las directrices dadas por el documento D- MJ-02: “Identificación y tratamiento servicio no conforme” en todos los funcionarios y áreas relacionadas con la Aplicación de la Autoridad Ambiental.
</t>
  </si>
  <si>
    <t>PORCENTAJE (%) DE DERECHOS DE PETICIÓN CON RESPUESTA OPORTUNA - Consulta (30 días)</t>
  </si>
  <si>
    <t>PORCENTAJE (%) DE DERECHOS DE PETICIÓN CON RESPUESTA OPORTUNA - Copias  (10 días)</t>
  </si>
  <si>
    <t>PORCENTAJE (%) DE DERECHOS DE PETICIÓN CON RESPUESTA OPORTUNA - Información (15 días)</t>
  </si>
  <si>
    <t>PORCENTAJE (%) DE SEGUIMIENTO DE AUTORIZACIONES VIGENTES DE ACUERDO AL PROCEDIMIENTO  "P-AA-07: SEGUIMIENTO Y CONTROL A TRÁMITES AMBIENTALES" - Aprovechamiento Forestales - Documental</t>
  </si>
  <si>
    <t>PORCENTAJE (%) DE SEGUIMIENTO DE AUTORIZACIONES VIGENTES DE ACUERDO AL PROCEDIMIENTO  "P-AA-07: SEGUIMIENTO Y CONTROL A TRÁMITES AMBIENTALES" - Aprovechamiento Forestales - En campo</t>
  </si>
  <si>
    <t>PORCENTAJE (%) DE SEGUIMIENTO DE AUTORIZACIONES VIGENTES DE ACUERDO AL PROCEDIMIENTO  "P-AA-07: SEGUIMIENTO Y CONTROL A TRÁMITES AMBIENTALES" - Concesión de Aguas Subterráneas - Documental</t>
  </si>
  <si>
    <t>PORCENTAJE (%) DE SEGUIMIENTO DE AUTORIZACIONES VIGENTES DE ACUERDO AL PROCEDIMIENTO  "P-AA-07: SEGUIMIENTO Y CONTROL A TRÁMITES AMBIENTALES" - Concesión de Aguas Superficiales - Documental</t>
  </si>
  <si>
    <t>PORCENTAJE (%) DE SEGUIMIENTO DE AUTORIZACIONES VIGENTES DE ACUERDO AL PROCEDIMIENTO  "P-AA-07: SEGUIMIENTO Y CONTROL A TRÁMITES AMBIENTALES" - Permisos de Vertimientos - Documental</t>
  </si>
  <si>
    <t>PORCENTAJE (%) DE SEGUIMIENTO DE AUTORIZACIONES VIGENTES DE ACUERDO AL PROCEDIMIENTO  "P-AA-07: SEGUIMIENTO Y CONTROL A TRÁMITES AMBIENTALES" - Concesión de Aguas Subterráneas - En campo</t>
  </si>
  <si>
    <t>PORCENTAJE (%) DE SEGUIMIENTO DE AUTORIZACIONES VIGENTES DE ACUERDO AL PROCEDIMIENTO  "P-AA-07: SEGUIMIENTO Y CONTROL A TRÁMITES AMBIENTALES" - Concesión de Aguas Superficiales - En campo</t>
  </si>
  <si>
    <t>PORCENTAJE (%) DE SEGUIMIENTO DE AUTORIZACIONES VIGENTES DE ACUERDO AL PROCEDIMIENTO  "P-AA-07: SEGUIMIENTO Y CONTROL A TRÁMITES AMBIENTALES" - Permisos de Vertimientos- En campo</t>
  </si>
  <si>
    <t>N° DE POZOS CONSTRUIDOS</t>
  </si>
  <si>
    <t>Un pozo construído</t>
  </si>
  <si>
    <t>UNA RED ELECTRÍCA INSTALADA</t>
  </si>
  <si>
    <t>N° PERSONAS CAPACITADAS</t>
  </si>
  <si>
    <t>Una red electríca</t>
  </si>
  <si>
    <t>7 personas</t>
  </si>
  <si>
    <t>Un pozo construido</t>
  </si>
  <si>
    <t>1 red Eléctrica</t>
  </si>
  <si>
    <t>0 red Eléctrica</t>
  </si>
  <si>
    <t>N° de personas capacitadas</t>
  </si>
  <si>
    <t>7 Personas capacitadas</t>
  </si>
  <si>
    <t>4-6 personas capacitadas</t>
  </si>
  <si>
    <t>Menos de 3 de personas capacitadas</t>
  </si>
  <si>
    <t>% DE METAS DE LA CAMPAÑA DE DIVULGACIÓN IMPLEMENTADA</t>
  </si>
  <si>
    <t>N° DE FOROS IMPLEMENTADOS</t>
  </si>
  <si>
    <t>3 foros virtuales</t>
  </si>
  <si>
    <t>De  80% a 100%</t>
  </si>
  <si>
    <t>De 60% a 79.9%</t>
  </si>
  <si>
    <t xml:space="preserve">Meta </t>
  </si>
  <si>
    <t>30 funcionarios capacitados y/o certificados</t>
  </si>
  <si>
    <t>PORCENTAJE (%) DE CUMPLIMIENTO DE LA POLÍTICA DE CALIDAD.  (Mapa de Riesgos 2015).</t>
  </si>
  <si>
    <t>PORCENTAJE DE LOS PROCESOS DEL SGC CON SEGUIMIENTO Y CONTROL MEDIANTE EL APLICATIVO TECNOLÓGICO</t>
  </si>
  <si>
    <t>9 Procesos</t>
  </si>
  <si>
    <t>N° DE FUNCIONARIOS CAPACITADOS Y CERTIFICADOS COMO AUDITORES INTERNOS</t>
  </si>
  <si>
    <t>NÚMERO DE MUNICIPIOS CON PLANES DE MEJORA</t>
  </si>
  <si>
    <t>19 municipios</t>
  </si>
  <si>
    <t xml:space="preserve">Anual </t>
  </si>
  <si>
    <t>N° DE PERSONAS CAPACITADAS</t>
  </si>
  <si>
    <t>5 capacitaciones</t>
  </si>
  <si>
    <t>Seguimiento al cumplimiento de los tiempos establecidos para dar respuesta a los usuarios</t>
  </si>
  <si>
    <t xml:space="preserve">PORCENTAJE DE TRAMITES AMBIENTALES CON CUMPLIMIENTO DE TIEMPOS </t>
  </si>
  <si>
    <t>2 eventos de capacitación</t>
  </si>
  <si>
    <t>Capacitación y reinducción a los funcionarios en normas, procedimientos y software CITA.
(2 capacitaciones)</t>
  </si>
  <si>
    <t xml:space="preserve">Porcentaje (%) de  Reconocimientos Otorgados de Acuerdo a lo Establecido en el Plan Anual de Formación, Capacitación, Bienestar Social e Incentivos del Personal </t>
  </si>
  <si>
    <t>Vigencia</t>
  </si>
  <si>
    <t>CAPACITACIÓN DEL PERSONAL PARA EL MEJORAMIENTO EN LA PRESTACIÓN DEL SERVICIO</t>
  </si>
  <si>
    <t xml:space="preserve">N° de capacitaciones </t>
  </si>
  <si>
    <t>Mide el número de capacitaciones que requieren el personal de la institución para mejorar la prestación del servicio</t>
  </si>
  <si>
    <t>1 capacitación</t>
  </si>
  <si>
    <t>1 Capacitación</t>
  </si>
  <si>
    <t>0 Capacitación</t>
  </si>
  <si>
    <t>REALIZAR UN INFORME DE SEGUIMIENTO A LA EVALUACIÓN PARCIAL DE LOS FUNCIONARIOS</t>
  </si>
  <si>
    <t xml:space="preserve">N° de informes de seguimiento </t>
  </si>
  <si>
    <t>Mide el número de informes de seguimiento a la evaluación de los funcionarios de la Entidad</t>
  </si>
  <si>
    <t>SEGUIMIENTO AL CUMPLIMIENTO DEL PLAN DE CAPACITACIÓN, BIENESTAR E INCENTIVOS</t>
  </si>
  <si>
    <t xml:space="preserve">Porcentaje de cumplimiento del Plan de capacitación, bienestar e Incentivos </t>
  </si>
  <si>
    <t>Informe de la evaluación al 100% de los funcionarios</t>
  </si>
  <si>
    <t>Mide el grado de cumplimiento del Plan de capacitación, bienestar e incentivos de la vigencia</t>
  </si>
  <si>
    <t xml:space="preserve">CAPACITACIÓN DEL PERSONAL PARA EL MEJORAMIENTO EN LA PRESTACIÓN DEL SERVICIO </t>
  </si>
  <si>
    <t xml:space="preserve">PORCENTAJE (%) DE RECONOCIMIENTOS OTORGADOS DE ACUERDO A LO ESTABLECIDO EN EL PLAN ANUAL DE FORMACIÓN, CAPACITACIÓN, BIENESTAR SOCIAL E INCENTIVOS DEL PERSONAL </t>
  </si>
  <si>
    <t>N° de reconocimientos Otorgados</t>
  </si>
  <si>
    <t xml:space="preserve">N° de Reconocimientos Identificados de Acuerdo a lo Establecido en el Plan Anual de Formación, Capacitación, Bienestar Social e Incentivos del Personal </t>
  </si>
  <si>
    <t>% Reducción 2015 vs 2014</t>
  </si>
  <si>
    <t>Implementación de una herramienta tecnológica para la administración, seguimiento y control de los contratos.</t>
  </si>
  <si>
    <t>N° DE HERRAMIENTAS TECNOLÓGICAS PARA LA ADMINISTRACIÓN, SEGUIMIENTO Y CONTROL DE LOS CONTRATOS IMPLEMENTADAS.</t>
  </si>
  <si>
    <t>Una herramienta implementada</t>
  </si>
  <si>
    <t>Realizar capacitación y Reinducción en la aplicación de los procedimientos y manejo de aplicativos financieros y/o contables.</t>
  </si>
  <si>
    <t xml:space="preserve">N° DE EVENTOS DE CAPACITACIÓN Y/O REINDUCCIÓN </t>
  </si>
  <si>
    <t>*Porcentaje (%) de incremento de cartera recuperada y  de ingresos por sobretasa, tasa y multas entre vigencias.</t>
  </si>
  <si>
    <t>1 Aplicativo</t>
  </si>
  <si>
    <t>N° DE APLICATIVOS FINANCIEROS Y CONTABLES ACTUALIZADOS</t>
  </si>
  <si>
    <t>PORCENTAJE (%) DE INCREMENTO DE CARTERA RECUPERADA Y  DE INGRESOS POR SOBRETASA, TASA Y MULTAS ENTRE VIGENCIAS.</t>
  </si>
  <si>
    <t xml:space="preserve">*15% o más de incremento de cartera recuperada y  de ingresos por sobretasa, tasa y multas entre vigencias.
</t>
  </si>
  <si>
    <t>N° eventos de capacitación y/o reinducción realizadas</t>
  </si>
  <si>
    <t>%) incremento de cartera recuperada y  de ingresos</t>
  </si>
  <si>
    <t xml:space="preserve">15% o más
</t>
  </si>
  <si>
    <t xml:space="preserve">15% o más de incremento de cartera </t>
  </si>
  <si>
    <t xml:space="preserve">7% a 14.9% de incremento de cartera </t>
  </si>
  <si>
    <t xml:space="preserve">Menos de 7% de incremento de cartera </t>
  </si>
  <si>
    <t>N° aplicativos actualizados</t>
  </si>
  <si>
    <r>
      <t>Mide el número aplicativos financieros y contables actualizados, con el fin de contribuir en la minimización o anulación de un posible "</t>
    </r>
    <r>
      <rPr>
        <i/>
        <sz val="11"/>
        <color theme="1"/>
        <rFont val="Verdana"/>
        <family val="2"/>
      </rPr>
      <t>Retrazo o reproceso en la ejecución de las actividades financieras y contables".</t>
    </r>
  </si>
  <si>
    <t>1 Aplicativo actualizado</t>
  </si>
  <si>
    <t>Un aplicativo</t>
  </si>
  <si>
    <t>0 Aplicativo</t>
  </si>
  <si>
    <t>No aplica</t>
  </si>
  <si>
    <t xml:space="preserve">Analisis y toma de acciones respecto a las siguientes opiniones de los usuarios:                                                                                                                                                                                                                             -Hacer llegar lo más pronto posible los resultados originales en físico a la empresa.                                                                                                                    - Mantener las condiciones del servicio. Generar convenios con usuarios para mantener los procesos de seguimiento y monitoreo con precios diferenciales. </t>
  </si>
  <si>
    <t xml:space="preserve">En la presente vigencia, en el Banco de Proyectos se encuentran registrados 53 proyectos (corporativos y externos) con corte al 31 de diciembre, que fueron evaluados y de esto 52 cumplen con los términos del Sistema de Gestión Corporativo, respondiendo a los proponentes en un tiempo menor a 30 días hábiles. 
El proyecto que no cumplió con el tiempo para dar respuesta al usuario fue:
* El proyecto externo "Mejoramiento ambiental y técnico de la planta de compostaje del municipio de Chigorodó buscando con ello la generación de empleos directos y una cultura participativa que permita el empoderamiento de los recursos naturales por parte de la comunidad orientada a alcanzar un producto final de buena calidad", fue presentado a la Corporación mediante oficio radicado No. 300-34-01-21-2211-2014 en mayo 20/2014 y el día 21/05/2014 fue entregado a la SGAA para su evaluación y concepto técnico con radicado No. 300-06-02-01-228 de mayo 21/14. El evaluador emitió el concepto el día 27/05/2014 y los documentos con los soportes y la evaluación fueron entregados a la SPOT el día 21/07/2014, finalmente se dió respuesta al usuario el día 28/07/2014; 15 días depués de la fecha límite para respoder al usuario (04/07/2014). En el periodo entre el 27/05/2014 y el 21/07/2014, se desconoce la ubicación de los documentos.
Para la presente vigencia se realizaron capacitaciones de refuerzo tanto en la formulación (MADS) como en la modificación de proyectos en el aplicativo CITA.
</t>
  </si>
  <si>
    <t>Se realizaron capacitaciones de refuerzo tanto en la formulación como en la modificación de proyectos, incluyendo en el cumplimiento de terminos para dar respuesta.</t>
  </si>
  <si>
    <t xml:space="preserve">Para la vigencia 2015, primer semestre,  se tiene un resultado del 19% y en la vigncia 2014 para el mismo periodo fue del 32%, presentando entonces una disminución del 13%.
Para último semestre de la presente vigencia se espera cumplir la meta.  </t>
  </si>
  <si>
    <t xml:space="preserve">La Corporación viene haciendo gestiones con los deudores a través de los mandamientos de pagos, acuerdos de pago y cuando es necesario, se realiza los embargos de las cuentas bancarias o bienes de las entidades. </t>
  </si>
  <si>
    <t>Cumplida la meta, con la capacitación realizada en el aplicativo SINAP v6, el cual es una actualización del aplicativo financiero y contable que se venía trabajando desde el 2007</t>
  </si>
  <si>
    <t xml:space="preserve">Se realizó una capacitación el día 22 de julio de 2015 a los funcionarios de la entidad en lo que tiene que ver con el manejo de la nueva versión del aplicativo SINAP v6, según registo asistencia.
 Además, en el marco de la actualización del aplicativo, se capacitó al personal sobre la actitud al cambio para preparar al personal frente a los retos que exige el nuevo cambio del aplicativo. </t>
  </si>
  <si>
    <t>Se cuenta con un 60% de avances frente a la actualización del aplicativo financiero y contable SINAP V6, en lo que tiene que ver con:
  Se subió al nuevo servidor las bases de datos y el sitio web.
  Está en etapa la migración e implementación del nuevo aplicativo SINAP v6, programado iniciar con el desarrollo en el mes de octubre 2015.
 Capacitado el personal sobre el nuevo Aplicativo SINAP v6</t>
  </si>
  <si>
    <t>Atraves del proyecto peresentado al Fondo de Compesación Ambiental  en la vigencia 2014, aprobado en la vigencia 2015,  se  contrató la actulización la versión del aplicativo SINAP v5 para la versión v6, así mismo la adquisición de equipos de computos con sus respetivas licencias.</t>
  </si>
  <si>
    <t>Al segundo trimestre de 2015 estamos cumplimiernto con la meta de este indicador,  debido al cruce permanente entre las áreas de contabilidad y cobro coactivo para hacer mas efectivo las funciones en materia de cobros a traves de la firma de acuerdos de pago con las diferentes administraciones municipales y con usuarios de la Corporación, al igual se implemento estrategias de cobro en el área finanicera mediante comunicación permanente con las Secretaría de Hacienda de los municipios para el cumplimiento de la cuota pactada.</t>
  </si>
  <si>
    <t>En la Vigencia 2015 se han facturado $2,851'261.606 correspondiente al 4° trimestre de 2014 y el 1°y2° de 2015, de los cuales se ha recaudado $2,104.093.899 que equivale a un 74% de lo facturado, por lo cual nos permite un buen comportamiento por este ingreso generado por las políticas permanentes de cobro implementadas por el área financiera a traves de la comunicación permanente con las Secretarias de Hacienda de los municipios.</t>
  </si>
  <si>
    <r>
      <t xml:space="preserve">En la presente vigencia, en el Banco de Proyectos se encuentran registrados 52 proyectos (corporativos y externos) con corte al 30 de junio, que fueron evaluados y de esto 51 cumplen con los términos del Sistema de Gestión Corporativo, respondiendo a los proponentes en un tiempo menor a 30 días hábiles. 
El proyecto que no cumplió con el tiempo para dar respuesta al usuario fue:
* El proyecto externo "Limpieza de 8.000 metros de las Riveras del río Volcán y río Hobo en el Municipio de </t>
    </r>
    <r>
      <rPr>
        <sz val="14"/>
        <rFont val="Verdana"/>
        <family val="2"/>
      </rPr>
      <t>Arboletes", fue presentado a la Corporación mediante oficio radicado No. 400-06-01-01-955-2015 en febrero 26/2015 y el día 03/03/2015 fue entregado a la SGAA para su evaluación y concepto técnico con radicado No. 300-06-02-01-87 de marzo 3/15. El evaluador emitió el concepto el día 24/06/2015 y los documentos con los soportes y la evaluación fueron entregados a la SPOT el día 24/06/2015, finalmente se dió respuesta al usuario el día 25/06/2015; 75 días depués de la fecha límite para respoder al usuario (17/04/2015). En el periodo entre el 17/04/2015 y el 24/06/2015, se desconoce la ubicación de los documentos.</t>
    </r>
    <r>
      <rPr>
        <sz val="14"/>
        <color rgb="FFFF0000"/>
        <rFont val="Verdana"/>
        <family val="2"/>
      </rPr>
      <t xml:space="preserve">
</t>
    </r>
    <r>
      <rPr>
        <sz val="14"/>
        <rFont val="Verdana"/>
        <family val="2"/>
      </rPr>
      <t>Para la presente vigencia se realizaron capacitaciones de refuerzo los los módulos de gestión y modificación de proyectos en el aplicativo CITA.</t>
    </r>
    <r>
      <rPr>
        <sz val="14"/>
        <color theme="1"/>
        <rFont val="Verdana"/>
        <family val="2"/>
      </rPr>
      <t xml:space="preserve">
</t>
    </r>
  </si>
  <si>
    <t xml:space="preserve">Se estableció y cumplió una acción correctiva de servicio no conforme debido a un proyecto que se entregó a evaluación, pero el funcionario no lo evaluó y presentó conforme a los tiempos establecidos y por ello no se respondió de manera oportuna al proponente. 
Como acción correctiva, se envió una circular a los funcionarios que evaluan los proyectos recordando los tiempos de acuerdo al SGC. </t>
  </si>
  <si>
    <t xml:space="preserve">% Reducción 2015 vs 2014  </t>
  </si>
  <si>
    <t>La Corporación realiza un esfuerzo en materia de reducción de consumo de papel, toda vez que implementa herramientas tecnológicas que permiten procesar, tramitar consolidar y gestionar la información institucional, lo que permite ir disminuyendo el uso del papel. Se evidencia un mayor reporte en el ultimo trimestre del 2014, como reajuste de cantidades pendientes por reportar debido al inventario y recoleccion de informacion de las requesicion de elementos de consumo. Mas sin embargo se puede evidenciar que en un 95% de las areas y/o proyectos hay una disminucion de papel con referencia al año inmediatamente anterior, en el consolidado se evidencia una reduccion del -7% que es mayor a la meta propuesta que es -2%. Cumplienod asi con este itens e el plan institucional.</t>
  </si>
  <si>
    <t>La corporacion continua realizando esfuerzos conducentes a disminuir el consumo de papel, como politica y plan institucional utilizando herramientas tecnologicas para el tramite y documentos internos; asi disminuir considerable mente el consumo de papel.</t>
  </si>
  <si>
    <t xml:space="preserve">Se diseñan e implementan mecanismos para la reducción de consumo de agua, en el marco del PIGA, como charlas, publicación de notas en IGUANOTAS y medios institucionales, con la finalidad de crear conciencia en el uso adecuado del recurso. Se evidencia un consumo significativo en el consumo de agua por las nuevas construcciones y edificaciones en el vigencia del 2014,
</t>
  </si>
  <si>
    <t xml:space="preserve">Se diseñan e implementan mecanismos para la reducción de consumo de agua, en el marco del PIGA, como charlas, publicación de notas en IGUANOTAS y medios institucionales, con la finalidad de crear conciencia en el uso adecuado del recurso. Se evidencia un consumo significativo en el consumo de agua por las nuevas construcciones y edificaciones en el vigencia del 2015, Mas sin embargo se evidencia un aumento de consumo de agua en el contrato 8720952 que corresponde al auditorio (centro de negocios) este espacio se biene alquilando para eventos y espectaculos durante todo el mes, sin dejar a un lado que continuan las actividades propias de la institucion.
</t>
  </si>
  <si>
    <t>Se adelantan actividades de remodelación y adecuación de la infraestructura corporativa, lo cual se verá reflejado en el consumo de energía; se crean nuevos espacios de trabajo, atencion al usuraio y sla de reuniones.</t>
  </si>
  <si>
    <t>Se continua realizando el control del consumo de energia y se definieron unos actos administrativos del control de trabajo en los fines de semana y trabajos hasta altas horas de la noche, como tambien se realizo la adquisicion de nuevos aires acondicionados que muestran el ahorro en un 30% del consumo normal de estos.</t>
  </si>
  <si>
    <t xml:space="preserve">De acuerdo con el proceso de RECURSOS E INFRAESTRUCTURA, se contrató la implementación dentro del aplicativo CITA de la corporación el proceso "Gestión de recursos e infraestructura"; el módulo de "Contratación"; el cual se formalizó mediante el contrato No. 200-10-01-12-077-2015 de marzo 24 de 2015.
El módulo entrará en funcionamiento en el segundo semestre de la vigencia 2015.
</t>
  </si>
  <si>
    <t>Para implementar la herramienta tecnológica para la administración, seguimiento y control de los contratos se realizaron las siguientes acciones:
* Programación y ejecución de 5 capacitaciones virtuales con Integración Web.
* Atención permanente para consulta vía Skype.
* Puesta en marcha (periodo de prueba).</t>
  </si>
  <si>
    <r>
      <rPr>
        <sz val="12"/>
        <rFont val="Verdana"/>
        <family val="2"/>
      </rPr>
      <t xml:space="preserve">A junio 30/15 se realizaron </t>
    </r>
    <r>
      <rPr>
        <sz val="12"/>
        <color rgb="FFFF0000"/>
        <rFont val="Verdana"/>
        <family val="2"/>
      </rPr>
      <t xml:space="preserve"> </t>
    </r>
    <r>
      <rPr>
        <sz val="12"/>
        <rFont val="Verdana"/>
        <family val="2"/>
      </rPr>
      <t>capacitaciones virtuales del módulo de contratación del aplicativo CITA, en donde se capacitaron un total de 2 personas.</t>
    </r>
    <r>
      <rPr>
        <sz val="12"/>
        <color theme="1"/>
        <rFont val="Verdana"/>
        <family val="2"/>
      </rPr>
      <t xml:space="preserve">
Se capacitaron 13 personas de diferentes áreas de la Corporación en el módulo de CONTRATACION, como soporte se tiene el registro R-TH-02 del 10 de junio de 2015.
Finalmente, se da cumplimiento a la meta establecida en un porcentaje del 100%.</t>
    </r>
  </si>
  <si>
    <t>Para cumplir con un evento de capacitación se realizó lo siguiente:
* Programación del evento.
* Ejecución de la capacitación.
* Pruebas del módulo.
* Atención permanente para consulta vía Skype.
* Socialización del módulo.</t>
  </si>
  <si>
    <t>Para el periodo no se han realizado las encuestas de proyectos, se realizan una vez finalice la ejecución del 2015; es decir, las encuestas se aplicarán el los primeros meses del 2016</t>
  </si>
  <si>
    <t xml:space="preserve">
Por todo se aplicaron 315 encuestas, de las cuales 302 están en el rango de calificación  4,6 a 5 y  13 entre 4 a 4,5, con las siguientes observaciones:
Convenio Giraldo: establecimiento de huertos leñeros y estufas eficientes 
Convenio Abriaquí: Establecimiento de huertos leñeros y estufas eficientes 
Convenio Abriaquí: invenadero
Convenio Abriaquí, reforestación TSE
"Mas acompañamiento técnico"
-Hacer un seguimiento y acompañamiento continuo a los proyectos para su buena ejecución"
-"Mas acompañamiento técnico"
-"Gracias que fue muy bueno, que haya mas cobertura para los demás"
-"más cobertura para el resto de las comunidades"
-Gracias quetodo  fue muy bueno, que haya mas cobertura para los demás"
-"Hacer más fogones y siembra de arboles"
-"Se requiere más cobertura para el municipio"
-"Muchas gracias por el beneficio
-"Muchas gracias"
-"Muchas gracias CORPOURABA por tenernos en cuenta en el proyecto"
-"Sí hay forma de ampliar cobertura para el municipio"
-"Muchas gracias por el regalo de la estufa
</t>
  </si>
  <si>
    <t xml:space="preserve">N° DE INFORMES CON EL ANALIS DE LA SATISFACCIÓN DEL USUARIO </t>
  </si>
  <si>
    <t>PORCENTAJE (%) DE ENCUESTA DE SATISFACCIÓN CALIFICADAS POR LOS USUARIOS DE ANÁLISIS DE AGUAS CON UNA NOTA SUPERIOR O IGUAL A TRES PUNTO OCHO (3.8) SOBRE CINCO (5.0).</t>
  </si>
  <si>
    <t>(N° de encuestas de satisfacción calificadas por los Usuarios de análisis de aguas con una nota superior o igual a  tres punto ocho (3.8) sobre cinco (5.0) / N° de encuestas de satisfacción calificadas por los Usuarios de análisis de aguas)*100.</t>
  </si>
  <si>
    <t>Mide el porcentaje de encuestas de satisfacción calificadas por los Usuarios de análisis de aguas con una nota superior o igual a  tres punto ocho (3.8) sobre cinco (5.0).</t>
  </si>
  <si>
    <t>N° DE INFORMES CON EL ANALIS DE LA TENDENCIA DE PRODUCTOS NO CONFORMES.</t>
  </si>
  <si>
    <t>2 o mas</t>
  </si>
  <si>
    <t>Se realizo en el mes de Abril el envío de los resultados del picap, nos encontramos a la espera de los resultados. En el mes de Julio se realizo el primer envío del PICCAP al INS, en espera de resultados.  En el mes de septiembre se recibieron los resultados por parte del PICCAP, obteniendose ersultados satisfactorios para todos los parametros en los cuales se participaron.</t>
  </si>
  <si>
    <t xml:space="preserve">Para el primer semestre por medio del acta numero 0111 del 9 de abril del 2014  se establecieron las acciones para dar tratamiento a tres trabajos no conformes: % de error por fuera del límite establecido en el desarrollo de las pruebas técnicas en la auditoría interna realizada en el mes de abril, para los parámetros Cloro Residual Total y Sodio se obtuvieron resultados con un porcentaje de error del 11.1 y 10.4 % tratando el trabajo no conforme con lo establece el procedimiento P-5.9-01. Incumplimiento del D-5.4-41" donde se establece que no se debe hacer corrección por blanco y se evidencia en el registro R-5.8-05 la muestra 1300913-2 la corrección por blanco, obteniéndose un resultado 0.02 mg/L por debajo del valor real, se trató este trabajo no conforme revisando el procedimiento por parte del analista. Incumplimiento del procedimiento P-5.9-01, quedando establecido la revisión bibliográfica del Sistema de Gestión Corporativo donde se afiancen lo estipulado en los documentos y procedimientos para su oportuno y adecuado cumplimiento.                                                                                          
 Por medio del acta numero 185 del 30 de julio del 2014 se establecieron las acciones para dar tratamiento a 6 trabajos no conformes;  4 relacionadas con el incumpliento del procedimiento P-5.9-01 control de calidad.  Se obtuvo un resultado insatisfactorios en el desarrollo de la prueba en la auditoria interna para cloro residual total, trantandose el trabajo no conforme realizando el patron de 0,27  mg/L en un rango de 24 horas tal como lo plantea el procedimiento; en el desarrollo de la auditoria externa por parte del IDEAM se obtuvo un porcentaje de error del 14,8% en alcalinidad incumpliendo con el procedimiento P-5.9-01 control de calidad, se trato este trabajo no conforme mediante la modificacion del documento D-5.4-02 MÉTODO ANALÍTICO ALCALINIDAD TOTAL: VOLUMÉTRICO, SM 2320 B  se planteó que para determinar la concentración de los patrones es necesario restar el blanco. Trabajo no conforme por el descarte de la muestra 0070514 antes del tiempo contemplado en el procedimiento P-5.8-01 TRANSPORTE, RECEPCIÓN, MANIPULACIÓN,  PROTECCIÓN, ALMACENAMIENTO, CONSERVACIÓN Y/O DISPOSICIÓN FINAL DE LAS MUESTRAS, como tratamiento al trabajo no conforme se planteó la necesidad de socializar este procedimiento. Trabajo no conforme por el retraso en la entrega de factura por servicios prestados a almacenes Exito. Para todos los trabajos no conformes se establecieron las acciones a tomar obteniendose resultados positivos y viendose reflejados en el trabajo diario del laboratorio,  se avanza en la definicion de las directrices para que el Laboratorio cuente con el modulo propio de faturacion.                                                                                                                                                                                                                                          Por medio del acta numero 050 del 10 de febrero del 2015 se establecieron las acciones con las cuales se trataron 4 trabajos no conformes que se presentaron en el segundo semenstre del 2014 (julio, diciembre): Revisión de compromisos anteriores. Se cumplieron con los compromisos pactados en el acta del 30 de Julio del 2014. Aun se está revisando el modulo de facturación para el Laboratorio de aguas de Corpouraba, es un proyecto que aun esta en elaboración, revisión y ajuste. Presentación de servicios no conformes. Incumplimiento con los criterios de aceptación del procedimiento P-5,9-02 “Elaboración de gráficos o cartas de control”: incumplimiento con uno de los criterios de aceptación de la carta de control para la variable alcalinidad, 9 puntos en una fila en la zona C o más allá.  Incumplimiento con los criterios de aceptación del procedimiento P-5,9-02 “Elaboración de gráficos o cartas de control”: incumplimiento con uno de los criterios de aceptación de la carta de control. 6 puntos en una fila decreciendo constantemente, para el parámetro alcalinidad.  Incumplimiento en el procedimiento P-5,9-01 “Control de Calidad”: no se realizaron los patrones por duplicado en una corrida para el análisis Cromatográfico de sodio y potasio.  Error transcripción de resultados: Se presentó un error en la transcripción de la fecha en el reporte de resultados c0161214-3 reporte número 1770, de la empresa Uniban.
</t>
  </si>
  <si>
    <t>N° de encuestas de satisfacción calificadas por los Usuarios de análisis de aguas con una nota superior o igual a  tres punto ocho (3.8) sobre cinco (5.0).</t>
  </si>
  <si>
    <t>%  de encuesta de satisfacción calificadas por los Usuarios de análisis de aguas con una nota superior o igual a tres punto ocho (3.8) sobre cinco (5.0).</t>
  </si>
  <si>
    <t xml:space="preserve">En el primer semestre se requiere revison de los procesos de  otorgamiento en  Atrato Medio.  </t>
  </si>
  <si>
    <t xml:space="preserve">Con corte al 30 de septiembre se tiene un cumplimiento total con los tramites de licencias ambientales, para los demas tramites se debe promover y gestionar la reduccion de tiempos en su atencion, especialmente en tramites de vertimiento donde se debe garantizar la suspencion de los tiempos cuando la informacion presentada no de cumplimento a los requisitos tecnicos. </t>
  </si>
  <si>
    <t xml:space="preserve">En el primer semestre de 2015 se presento cumplimiento a la meta de seguimiento tanto en campo como documental dando un resultado satisfactorio, se debe procurar continuar con esta gestion para mantener este nivel y aumentarlo si es posible.  </t>
  </si>
  <si>
    <t xml:space="preserve">Teniendo en cuenta que se han presentado 205 solicitudes; Para el primer semestre de 2015 se obesrva un cumplimiento adecuado asi:
En revisión documental el cumplimiento es del 50%, restando solo el 30% para dar cumplimiento a la meta.
En revisión de campo el porcentaje alcanzado es del 84%, restando solo un 14% para cumplir con la meta. </t>
  </si>
  <si>
    <t>Teniendo en cuenta que se han presentado 301 solicitudes, para el primer semestre de 2015 se observa un cumplimiento satisfactorio asi:
En revisión documental el cumplimiento es del 69%, restando solo el 11% para dar cumplimiento a la meta. 
En revisión de campo el porcentaje alcanzado es del 28%, mrta cumplida.  Por tanto la gestion que pueda desarrollarse en el segundo semestre mejorará los resulatdos de la gestión</t>
  </si>
  <si>
    <t>Para el primer semestre de 2015 se obsrva un cumplimiento satisfactorio asi:
En revisión documental el cumplimiento es del 50%, restando solo el 30% para dar cumplimiento a la meta.
En revisión de campo el porcentaje alcanzado es del 74%, meta cumplida.  Por tanto la gestion que pueda desarrollarse en el segundo semestre mejorará los resultados de la gestión.</t>
  </si>
  <si>
    <t>Pese a los esfuerzos en capacitacion y entrenamiento aun se percibe dificultad en algunas áreas para un manejo eficiente de la plataforma, se requiere mantener y aumentar los esfuerzos en entrenamiento y capacitacion no solo para el manejo del aplicativo, sino para su uso como fuente de informacion (Consulta de reportes)</t>
  </si>
  <si>
    <t>En el mes de febrero con el ingreso del personal contratista y de planta temporal se hace presentacion del aplicativo CITA y de las etapas que requieren ser asumidas por los funcionarios.  Se realiza una capacitacion general y dos capacitaciones puntuales para el personal 
En el mes de septiembre se realzia capacitaciuon- reuinduccion para el área juridica (21/09/2015) y para el area juridica y tecnica (22/09/2015).</t>
  </si>
  <si>
    <t xml:space="preserve">Se vienen desarrollando acciones de recopilacion y analisis de la informacion de manera periodica mensual, evaluando los tiempos utilizados en la atencion de los tramites, informacion que se ha presentado al consejo directivo como seguimiento y que sirve para mejorar el resultado de la oportunidad en la atencion de tramites.  </t>
  </si>
  <si>
    <t>PORCENTAJE (%) DE ENCUESTA DE SATISFACCIÓN CALIFICADAS POR LOS USUARIOS DE TRÁMITES AMBIENTALES RESUELTOS CON UNA NOTA SUPERIOR O IGUAL A  CUATRO (4,0) SOBRE CINCO (5.0).</t>
  </si>
  <si>
    <t>(N° de encuestas de satisfacción calificadas por los Usuarios de trámites ambientales resueltos con una nota superior o igual a cuatro (4.0) sobre cinco (5.0) / N° de encuestas de satisfacción calificadas por los Usuarios de trámites ambientales resueltos)*100.</t>
  </si>
  <si>
    <t>Mide el porcentaje de encuestas de satisfacción calificadas por los Usuarios de trámites ambientales resueltos con una nota superior o igual a  cuatro (4.0) sobre cinco (5.0).</t>
  </si>
  <si>
    <t>N° de encuestas de satisfacción calificadas por los Usuarios de trámites ambientales con una nota superior o igual a  cuatro (4.0) sobre cinco (5.0).</t>
  </si>
  <si>
    <t>%  de encuesta de satisfacción calificadas por los Usuarios de trámites ambientales con una nota superior o igual a cuatro (4.0) sobre cinco (5.0).</t>
  </si>
  <si>
    <t>Se requiere seguir fortaleciendo:
Adecuado uso e ingreso de informacion al aplicativo CITA
Gestion de formatos de forma completa
Revisar algunos puntos critoscos en los procesos con al definicion adecuada de roles.</t>
  </si>
  <si>
    <t xml:space="preserve">A la fecha del mes de agosto se tienen 187 ingresos de tramites ambientales de los cuales  de los cuales han sido resueltos 129 con 95 tramites dando cumplimientoen terminos de oportunidad, lo cual equivale a un % de cumplimiento del
De los tramites atendidos presentan mayor requerimiento de tiempos los tramites de viabilidad ambiental, permiso de vertimiento y aprovechamiento forestal, toda vez que no se han suspendido en su momento dadas las dificultades tecnicas para el cumplimiento de los tramites.   </t>
  </si>
  <si>
    <t>Se realizaron seis (6) encuestas, tres con calificacion de 3.9 y las otras tres con calificacion superior a 4.0</t>
  </si>
  <si>
    <t>Entrega de materiales solicitados en las cantidades requeridas
 las próximas requisiciones por favor entregas completo los suministros
Se requiere que los equipos de cómputo y otros de las regionales, el cronograma de mantenimiento sea de estricto cumplimiento 
Mejorar instalaciones de baños hombres, ventiladores para sala de espera de espacio vital
Un mejor espacio físico porque cuando llueve las oficinas se inundan.
Mejorar el servicio de aseo, mantenimiento o arreglo de instalaciones o red sanitaria, mantenimiento de aires acondicionados
El cielo raso se encuentra bastante deteriorado y libera basura diariamente. 
Las adecuaciones y construcciones deberían hacerse en horarios no laborales y/o ajustar el horario de trabajo de ser necesario.
Incluir en el presupuesto anual de compras los rubros que por ley le corresponde a área de la gestión documental
Cambio de equipo de cómputo
Cambio de equipo de cómputo y suministro de cámara fotográfica que se han pedido pero no han llegado.</t>
  </si>
  <si>
    <t>Se considera que es necesario que se mejoren las instalaciones de los baños de las mujeres en pintura y accesorios.</t>
  </si>
  <si>
    <t>Porcentaje (%) de Encuesta de Satisfacción Calificadas por los Usuarios de Análisis de Aguas con una Nota Superior o Igual a Tres Punto ocho (3.8) Sobre Cinco (5.0)</t>
  </si>
  <si>
    <t xml:space="preserve">Se realizaron cinco encuestas
-En la documentación requerida hay muchas cosas que es dificil para un campesino cumplir y se hace dispendioso </t>
  </si>
  <si>
    <t xml:space="preserve">Se realizaron dieciocho (18) encuestas todas con calificacion superior a 4.0
-Cumplimiento en el tiempo de los trámites
-Demoras en los tramites
</t>
  </si>
  <si>
    <t>Opiniones de los usuarios:
-Que otorguen el permiso en menos tiempo, más de un mes es mucho tiempo
-Que los tramites se hagan en menos tiempo, dos meses es mucho tiempo</t>
  </si>
  <si>
    <t>Opiniones Octubre 2015.
-Considerp que debe socializar mas cada unas de las actividades de bienestar social
-Socializar el plan y los resultados.
-Revisar grado de satisfacción y percepción de la organización y sus empleados.
-Cuando se socializó el plan, sí apenas lo aprobaron en octubre de 2015.
-Dat cumplimiento con las capacitaciones específicas para cada área y permitir el presupuesto para asistir a estas. 
-</t>
  </si>
  <si>
    <r>
      <rPr>
        <b/>
        <sz val="11"/>
        <rFont val="Verdana"/>
        <family val="2"/>
      </rPr>
      <t>Subdirección Gestión y Administración Ambiental=</t>
    </r>
    <r>
      <rPr>
        <sz val="11"/>
        <rFont val="Verdana"/>
        <family val="2"/>
      </rPr>
      <t xml:space="preserve">
 MANEJO DE LA HERRAMIENTA CITA,  
BASES DE DATOS ASOCIADAS AL PROCESO DE AUTORIDAD AMBIENTAL, 
 SOCIALIZACION DE ACCIONES PARA EL MEJORAMIENTO, </t>
    </r>
  </si>
  <si>
    <r>
      <rPr>
        <b/>
        <u/>
        <sz val="11"/>
        <rFont val="Verdana"/>
        <family val="2"/>
      </rPr>
      <t xml:space="preserve">Subdirección Jurídica, Administrativa y Financiera , </t>
    </r>
    <r>
      <rPr>
        <u/>
        <sz val="11"/>
        <rFont val="Verdana"/>
        <family val="2"/>
      </rPr>
      <t xml:space="preserve">
Actualizacion en SINAP  VERSION 6.</t>
    </r>
  </si>
  <si>
    <r>
      <rPr>
        <b/>
        <sz val="11"/>
        <rFont val="Verdana"/>
        <family val="2"/>
      </rPr>
      <t xml:space="preserve">Subdirección de Planeación y O.T </t>
    </r>
    <r>
      <rPr>
        <sz val="11"/>
        <rFont val="Verdana"/>
        <family val="2"/>
      </rPr>
      <t>=  
METODOLOGIA DEL FCA. PARA LOS PROTECTOS DE LA VIGENCIA 2016.</t>
    </r>
  </si>
  <si>
    <r>
      <rPr>
        <b/>
        <sz val="11"/>
        <rFont val="Verdana"/>
        <family val="2"/>
      </rPr>
      <t>Oficina Jurídic</t>
    </r>
    <r>
      <rPr>
        <sz val="11"/>
        <rFont val="Verdana"/>
        <family val="2"/>
      </rPr>
      <t>a = 
ALCANCE DE LOS DECRETOS  ÚNICOS REGLAMENTARIOS 1076, 1083, 1072. ETC.</t>
    </r>
  </si>
  <si>
    <r>
      <rPr>
        <b/>
        <u/>
        <sz val="11"/>
        <rFont val="Verdana"/>
        <family val="2"/>
      </rPr>
      <t>Todas las Área</t>
    </r>
    <r>
      <rPr>
        <u/>
        <sz val="11"/>
        <rFont val="Verdana"/>
        <family val="2"/>
      </rPr>
      <t xml:space="preserve">s
</t>
    </r>
    <r>
      <rPr>
        <sz val="11"/>
        <rFont val="Verdana"/>
        <family val="2"/>
      </rPr>
      <t>AMBIENTE LABORAL Y TRABAJO EN EQUIPO,
 CAMBIO DE LOS DOCUMENTOS DEL SISTEMA DE GESTION CORPORATIVO, 
 FORMACION EMPRESARIAL DE AUDITORES INTERNOS MECI GP 1000,  
SERVICIOS NO CONFORME,  
ESTATEGIAS DE GOBIERNO EN LINEA, 
 VALORES CORPORATIVOS   (06).</t>
    </r>
  </si>
  <si>
    <t>Capacitar a los funcionarios, en Ambiente laboral y trabajo en equipo, con el proposito de mejorar la calidad en la prestacion de los servicios, tanto a los usuarios externos como a los internos, la cual conto con la participacion de 67 funcionarios, fecha y duración, 11 de mayo de 2015, de 7:30AM - 9:30AM.   De la misma forma se realizo capacitacion en el menejo del nuevo SINAP - Version 6, La cual tiene como proposito preparar a los funcionarios  del Area Financiera,  en los cambios de mentalidad para asumir los grandes retos del futuro, se con la participacion de 14 funcionarios, fecha y duración 22/07/2015, de 10AM - 12M.</t>
  </si>
  <si>
    <t xml:space="preserve">A la fecha se han realizado dos (02) capacitaciones en: Ambiente laboral -  Tabajo en equipo y  SINAP  V6. </t>
  </si>
  <si>
    <t>Se tomó una muestra de (60) hojas de vida con el proposito de evidenciar la evaluación parcial de los funcionarios.</t>
  </si>
  <si>
    <t>Del total de la muestra evaluada se pudo evidenciar que en un 100% existe la evaluacion parcial debidamente tramitada y firmada.</t>
  </si>
  <si>
    <t>De acuerdo al Plan de Formacion, Capacitacion, Bienestar Social e Incentivos del Personal,  para la vigencia 2015, aprobado mediante Resolucion No. 250-03-30-99-1321-2015, del 07 de octubre de 2015. Se ha venido dando cumplimiento de acuerdo a los temas, objetivo,  necesidades y las deficiencias que pretende cubrir el mismo.</t>
  </si>
  <si>
    <t>PORCENTAJE (%) DE RECONOCIMIENTOS OTORGADOS DE ACUERDO A LO ESTABLECIDO EN EL PLAN ANUAL DE FORMACIÓN, CAPACITACIÓN, BIENESTAR SOCIAL E INCENTIVOS DEL PERSONAL 2015</t>
  </si>
  <si>
    <t>A la fecha se han realizado actividades como: Capacitacion SINAP  V6, Ambiente laboral y Trabjo en equipo, socializacion en los cambios de los documentos del SGC. Mejoramiento del SGC, Capacitacion en el manejo de la herramienta CITA, relacionados con Tramites Ambientales, contravenciones. Capacitación a los funcionarios como Auditores Internos MECI GP 1000.  Actualizacion de la metodologia del FCA, para los proyerctos de la vigenvia de 2016. Integración Ludica Deportiva y recreación. Valores Corporativos. Alcane de los Decretos Únicos Reglamentarios 1076, 1083, 1072 etc.
En el tiempo restante del año, se requiere mejorar el cumplimiento del ítem de incentivos que aporten al cumplimiento de la meta de todo el plan.</t>
  </si>
  <si>
    <t>Solo se realizó una encuesta con calificacion de 3,9.
Para noviembre 2015 está programada realizar las encuentas en diferentes municipios</t>
  </si>
  <si>
    <t>Meta Revisión documental</t>
  </si>
  <si>
    <t>Meta Revisión en campo</t>
  </si>
  <si>
    <t>Meta Revisiónen campo</t>
  </si>
  <si>
    <t xml:space="preserve">Meta de Revision documental </t>
  </si>
  <si>
    <t>Meta de Revision en campo</t>
  </si>
  <si>
    <t>Meta de Revisión Documental</t>
  </si>
  <si>
    <t>Meta de Revision en Campo</t>
  </si>
  <si>
    <t xml:space="preserve">A la fecha sólo se ha hecho tres reconocimiento de los 47 establecidos para el año, esto debido que se requiere que los funcionarios que les aplica este tipo de reconocimientos, deben hacer la solicitud ante Talento Humano.
No obstante, se debe establecer estrategias para socializar este tipo de derechos con los que cuentan los funcionarios, para mejorar el cumplimiento </t>
  </si>
  <si>
    <t>Para el primer trimestre no se presenta avance, nos encontramos a la espera  que los diferentes entes den incio con el proceso de inscripción  para la participación en las diferentes pruebas de desempeño..</t>
  </si>
  <si>
    <t>Para este año se observa un logro de la meta del 10o% y un incremente leve en el aumento de las muestras</t>
  </si>
  <si>
    <t>Para este periodo se observa un incremento del 100 % en la recepción de las muestras debido al contrato establecido con la empresa Aguas de Uraba. Debido al incremento en el volumen de trabajo, disminuyo este indicador.</t>
  </si>
  <si>
    <t>Para el mes de enero se presenta una disminución  en el indicador debido a que el personal del Laboratorio, aun no se ha contratado en su totalidad. . Para  el mes de Febrero aumenta la tendencia del indicador debido a la vinculación del personal del laboratorio.     Para el mes de marzo se observa el aumento en la tendencia del indicador. Para el mes de abril se presenta una dismincuión en la tendencia del indicador, debido a que iniciaron con el monitoreo los proyectos.  Para el mes de mayo la tendencia aun continua debido al aumento en el flujo de muestras ya que las fincas bananeras iniciaron tramites para permisos de vertimientos. Para los meses de junio, julio y agosto se continua con la tendencia en el incremento de muestras, las fincas bananeras siguen tramitando permiso de veryimientos y concesiones. Se le manisfiesta a la Dirección la situación actual del Laboratorio, se realiza el trabajo no confrome, y se le informa al usuario en el momento de la recepciónd e la muestra el posible retraso en la entrga oportuna de resultados, debido a que el Laboratorio se encuentra trabajando en el limite de su capacidad.</t>
  </si>
  <si>
    <t>Primer Semestrs</t>
  </si>
  <si>
    <t>En las encuestas analizadas no se encontraron sugerencias.</t>
  </si>
  <si>
    <t>Segundo semestre</t>
  </si>
  <si>
    <t xml:space="preserve">Para el primer semestre del 2015 se presentaron trabajos 6 trabajos no conformes los cuales fueron expuestos en reunion mediante acta 125 del 2 de julio del 2015. Los trabajos no conformes fueron los siguientes: Incumplimiento del procedimiento “P-5.9-02 Elaboración de gráficos o cartas de control; Disminución en la meta del indicador “porcentaje (%) de Análisis Resueltos en un Tiempo Igual o Inferior a lo Reglamentado en el SGC; Incumplimiento en el procedimiento P-5,9-01 “Control de Calidad, Incumplimiento en el procedimiento P-5,9-01 “Control de Calidad. Se revisaron las correciones para los trabajos no conformes.                                                                                                                                                                                                                                                     Para el segundo semestre del 205 se presentaron 4 trabajos no conformes, los cuales fueron analizados en reunión medianta acta  0034 del 16 de febrero del 2016  donde se establecieron las siguientes observaciones: En el mes de abril del 2015 se estableció un contrato con Aguas de Urabá “prestación de servicio de toma y análisis de laboratorio para ensayos microbiológicos y fisicoquímicos de agua (natural y potable) en los municipios operados por aguas de Urabá S.A E.S.P” donde quedó estipulado fechas para la entrega de resultados, debido al alto volumen de muestras que ingresan se incumplió en la entrega de los reportes correspondientes a las muestras 0810915-7, 0870915-7,8 y 9. Por lo tanto se procedió a la entrega inmediata de los resultados solicitados.
Incumplimiento en los tiempos establecidos para la entrega de los resultados de análisis de las muestras 0381115-3 y 4, 0431115-3 y 4, 0501115-3 y 4, para análisis de grasas y aceites, se define la corrección realizando el análisis inmediatamente el funcionario identifica el trabajo no conforme.
Nivel de cumplimiento moderado del 70-89.9% en el indicador, “porcentaje de análisis resueltos en un tiempo igual o inferior a lo reglamentado en el SGC”, estableciendo nuevos tiempos de entrega de resultados acordando con el usuario y/o vinculación de personal. Error al digitar el código de 2 muestras para el análisis de silicio en el software Thermo Solar cuyos códigos de recepción fueron la 0601115-1 y la 0601115-2, con autorización del jefe de área se realiza la corrección del código de las muestras en el software. 
</t>
  </si>
  <si>
    <t>Para el primer semestre de 2016, se presentaron 13 trabajos no conformes. En reunión realizada el 21 de julio de 2016, se revisó cada uno ellos  y se realizó el análisis de las correaciones y los pendientes que se generaron a raiz de unos incumplimientos generados en los indicadorres. En el acta con radicado 300-01-04-20-0129-2016, se establecen unos penientes que seran evaluados en la proxima reunión.</t>
  </si>
  <si>
    <t>Se está realizando la gestión para adquirir los recursos que permitan la construcción del pozo.</t>
  </si>
  <si>
    <t>Se elaboró plan de manetnimiento y/o calibración que está acorde a los intervalos de calibración.</t>
  </si>
  <si>
    <t>En cooperación con la Universidad de Antioquia se realizó el cambio de las redes electricas de todo el sector  ICA-TULENAPA.</t>
  </si>
  <si>
    <t>Se está gestionando ante la ARL capacitación en manejo de sustancias químicas. El 2  de junio  generó la autorización para que desde el área de contratación de colmena se asigne un proveedor para esta actividad, nos encontramos a la espera que el proveedor nos confirme fecha para la realización de la actividad.</t>
  </si>
  <si>
    <t>85% o más.</t>
  </si>
  <si>
    <t>Nº DE CAPACITACIONES REALIZADAS A USUARIOS EXTERNOS PARA LA PRESENTACIÓN DE PROYECTOS A CORPOURABA</t>
  </si>
  <si>
    <t xml:space="preserve">N° de capacitaciones dirigidas al usuario externo realizadas </t>
  </si>
  <si>
    <t>Mide las capacitaciones dirigidas al usuario externo de la Corporación buscando mejorar la presentación de proyectos de acuerdo a los lineamientos y directrices de la Entidad</t>
  </si>
  <si>
    <t>3-4 capacitaciones</t>
  </si>
  <si>
    <t>Menos de 3 capacitaciones</t>
  </si>
  <si>
    <t>N° de capacitaciones a los funcionarios realizadas</t>
  </si>
  <si>
    <t>Mide el fortalecimiento de los funcionarios en la formulación y presentación de proyectos en el marco de las directrices del Gobierno Nacional y los procedimientos internos</t>
  </si>
  <si>
    <t>3 capacitaciones</t>
  </si>
  <si>
    <t>2 capacitaciones</t>
  </si>
  <si>
    <t>1 capacitaciones</t>
  </si>
  <si>
    <t xml:space="preserve">En la presente vigencia, en el Banco de Proyectos se encuentran registrados 38 proyectos (corporativos y externos) con corte al 30 de junio, que fueron evaluados y todos fueron evaluados en un tiempo menor a 30 días hábiles. 
</t>
  </si>
  <si>
    <t xml:space="preserve">Para poder realizar el seguimiento físico y financiero de los proyectos se realizan las siguientes acciones:
* Aprobación del presupuesto para la vigencia - CONSEJO DIRECTIVO.
* Elaboración del POAI - SUBDIRECCION DE PLANEACION Y O. T.
* Asignación de los responsables de los proyectos - DIRECCION GENERAL
* Elaboración del POA inicial - RESPONSABLE DEL PROYECTO
* Elaboración de la ejecución presupuestal mensual - JEFE DE PRESUPUESTO
* Elaboración de informes trimestrales - RESPONSABLE DEL PROYECTO
* Elaboración del informe de seguimiento a los proyecto - GESTION DE PROYECTOS
</t>
  </si>
  <si>
    <t>Se tienen programadas capacitaciones vituales con las territoriales,  de tal forma que ellos la repliquen en la sede. 
La estrategia es realizarla vía  skype a las territoriales en la última semana de octubre.
Los coordinadores territoriales serán los encargados de  repicarlas a los usuarios externos, en el mes de noviembre.</t>
  </si>
  <si>
    <t>Pendiente solicitar un capacitación en el módulo de proyectos del aplicativo CITA.</t>
  </si>
  <si>
    <t>Se realizo inventario de activos fijos en Mayo de 2016, se esta ingresando al sistema SINAP V6 lo que realmente quedara plaquetado como activo fijo. Los invenatrios de Consumos se estan realizando de acuerdo a lo requerido (En el 2016, se realizo en mes de Marzo para tomar datos para ingresar a sistema)</t>
  </si>
  <si>
    <t>La herramienta actual, permite enlazar actividades como requision de elementos, se debe colocar en funcionamiento</t>
  </si>
  <si>
    <t>Se tiene un herramienta actualizada SINAP V6</t>
  </si>
  <si>
    <t>Se continua realizando el control del consumo de energia y se definieron unos actos administrativos del control de trabajo en los fines de semana y trabajos hasta altas horas de la noche.  Se proyecta trabajo con cambio en cableado en la red electrica y elaboracion de cajas de chequeo.</t>
  </si>
  <si>
    <t xml:space="preserve">Se sigue con el trabajo diseñado en el 2015,  uso adecuado del consumo de agua
</t>
  </si>
  <si>
    <t>% Reducción 2016 vs 2015</t>
  </si>
  <si>
    <t xml:space="preserve">% Reducción 2016 vs 2015  </t>
  </si>
  <si>
    <t>Oportunidad de Mejora en cuento a la entrega de insumos (Requision de Elementos). Oportunidad de mejroa en cuanto a estado de las instalaciones de la Corporacion. Oportunidad de Mejora en cuanto a solicitudes de Compra</t>
  </si>
  <si>
    <t>Suministro de Inusmos a Tiempo. Arreglos locativos (Instalaciones y atencion a necesidades de usuarios en cuando a las instalaciones). Entrega de equipos, comunicación referente a situaciones de mantenimiento.</t>
  </si>
  <si>
    <t>Opiniones Agosto 2014
-"Cambio de orinales en baños hombres".
-"Agilizar un poco en la entrega de equipos, mayor número de equipos de cómputo".
-"Adecuación de la planta física".
-"Punto N°1 - aclarar y definir en el procedimiento de gestión de recursos el papel del supervisor y el coordinador (R-RI-20)".
-"Dotar a las regionales de los equipos y herramientas (escaner - video beam- fotocopiadora) para cumplir con los ajustes en los aplicativos CITA". 
-"Mejorar la iluminación de la oficina de Cañagordas".
-"Es pertinente que algunos espacios se considere la pertinencia es el uso de modulares".
-"Desarrollar un mejor direccionamiento del servicio de conformidad con la competencia del funcionario a prestar el servicio".
-"Solo el resultadoen el item 4 por falta de iluminación".
-"El procedimiento de salida de equipos es complejo, se hace dificil encontrar el formatos en la carpeta pública".
-"Acceso mas fácil a aplicativos y software libres que facilitan mayor independencia pa formular conceptos y propuestas".
Se considera que es necesario que se mejoren las instalaciones de los baños de las mujeres en pintura y accesorios.</t>
  </si>
  <si>
    <t>50% Inventario documental y reconteo</t>
  </si>
  <si>
    <t>Lider del Proceso (Subdirector Jurídico, Administrativo y Financiero con el apoyo de Equipo de Trabajo)</t>
  </si>
  <si>
    <t>100% inventario y actualización en sistemas</t>
  </si>
  <si>
    <t>100% invetario</t>
  </si>
  <si>
    <t>Mide el porcentaje de inventario de los bienes de la Institución, partiendo de la definición de bienes por funcionario o área de trabajo, reconteo de bienes para verificar su existencia y actualización de la información en el sistema.</t>
  </si>
  <si>
    <t>% de inventario actualizado</t>
  </si>
  <si>
    <t>% INVENTARIO DE LA CORPORACIÓN ACTUALIZADO</t>
  </si>
  <si>
    <t>1 Eventos</t>
  </si>
  <si>
    <t>2 Eventos</t>
  </si>
  <si>
    <t>4 Eventos</t>
  </si>
  <si>
    <t>Cuatro eventos</t>
  </si>
  <si>
    <t>Mide el número de eventos de capacitación a los funcionarios en temas como planeación, identificación de riesgos, manuales y procedimientos de contratación, con el fin de contribuir con la normatividad y procedimientos de contratación</t>
  </si>
  <si>
    <t>N° de eventos de capacitación realizados</t>
  </si>
  <si>
    <t>N° DE CAPACITACIONES A LOS COORDINADORES DE LOS PROYECTOS EN ESTUDIOS DE MERCADO (PLANEACIÓN), IDENTIFICACIÓN DE RIESGOS, MANUALES Y PROCEDIMIENTOS DE CONTRATACIÓN Y DE ALMACEN</t>
  </si>
  <si>
    <t>0 herramienta</t>
  </si>
  <si>
    <t>1 herramienta</t>
  </si>
  <si>
    <t>2 herramientas</t>
  </si>
  <si>
    <t>Dos herramienta</t>
  </si>
  <si>
    <r>
      <t xml:space="preserve">Mide el número de herramientas  tecnológicas para la administración, seguimiento y control de los contratos adquiridas e implementadas , con el fin de contribuir en la minimización o anulación de una </t>
    </r>
    <r>
      <rPr>
        <i/>
        <sz val="11"/>
        <rFont val="Verdana"/>
        <family val="2"/>
      </rPr>
      <t>"Posible adquisición de bienes y servicios sin los requisitos establecidos".</t>
    </r>
  </si>
  <si>
    <t>N° HERRAMIENTAS TECNOLÓGICAS FORTALECIDAS PARA MEJORA LA ADMINISTRACIÓN, SEGUIMIENTO Y CONTROL DE LOS CONTRATOS E INVENTARIOS DE LA INSTITUCIÓN</t>
  </si>
  <si>
    <t>Solo se realizó una encuesta con calificacion de 5,0
Para noviembre 2016 está programada realizar las encuentas en diferentes municipios y digitales</t>
  </si>
  <si>
    <t>Una encuesta sin datos</t>
  </si>
  <si>
    <t>una encuesta con calificación 3,9</t>
  </si>
  <si>
    <t xml:space="preserve">Tiempo promedio de trámite para la resolución de autorizaciones ambientales otorgadas por la corporación </t>
  </si>
  <si>
    <t>Promedio de los tiempos de  un tramite= sumatoria de los tiempos de los tramites atendidos/No. De tramites resueltos</t>
  </si>
  <si>
    <t>Es un Indicador Minimo de Gestion: Cuanto menor sea el tiempo promedio, teniendo como referencia los tiempos establecidos en la normativa, mayor es el cumplimiento por parte de la autoridad ambiental en la eficiencia en la resolución de las solicitudes de autorizaciones ambientales (licencias ambientales, concesiones de agua, permisos de aprovechamiento forestal, permisos de emisiones atmosféricas y permisos de vertimiento de agua</t>
  </si>
  <si>
    <t xml:space="preserve">Trimestral </t>
  </si>
  <si>
    <t>Hasta 100%</t>
  </si>
  <si>
    <t>Supera el 100%</t>
  </si>
  <si>
    <t>De Meta mínima</t>
  </si>
  <si>
    <t>Porcentaje de autorizaciones ambientales con seguimiento en función de cantidad de autorizaciones</t>
  </si>
  <si>
    <t>No. De autorizaciones ambientales con seguimiento / No. De autorizaciones ambientales programadas</t>
  </si>
  <si>
    <t>Cuanto más cercano a cien por ciento, mayor es el cumplimiento de las metas que la autoridad ambiental se ha propuesto alcanzar en relación con el seguimiento a las autorizaciones ambientales (licencias ambientales, concesiones de agua, aprovechamiento forestal, emisiones atmosféricas y permisos de vertimiento).</t>
  </si>
  <si>
    <t>Porcentaje de autorizaciones ambientales con seguimiento (Ver fila 148) en funcion del volumen autorizado</t>
  </si>
  <si>
    <t>Porcentaje de Procesos Sancionatorios Resueltos</t>
  </si>
  <si>
    <t>Es la relación entre el número de actos administrativos de determinación de la responsabilidad o de cesación de procedimiento expedidos, con respecto al número de actos administrativos de iniciación de procedimiento sancionatorio expedidos por la autoridad ambiental</t>
  </si>
  <si>
    <t>El indicador mide el cumplimiento por parte de la autoridad ambiental en la gestión de los procesos sancionatorios abiertos, con relación a la ocurrencia de infracciones en materia ambiental en su jurisdicción.</t>
  </si>
  <si>
    <t>DE Meta Mínima</t>
  </si>
  <si>
    <t>IP: % de quejas y contravenciones ambientales atendidas.</t>
  </si>
  <si>
    <t>Sumatoria de quejas por daños ambientales atendidas/sumatoria de quejas por daños ambientales recibias</t>
  </si>
  <si>
    <t>El indicador mide la atención  de quejas y denuncias por daños ambientales o infracciones de norma , con relación a la ocurrencia de denuncias recibidas en su jurisdicción.</t>
  </si>
  <si>
    <t>95% al 100%</t>
  </si>
  <si>
    <t>Menos de 70%.</t>
  </si>
  <si>
    <t xml:space="preserve">Porcentaje (%) de encuesta de satisfacción calificadas por los usuarios de trámites ambientales resueltos con una nota superior o igual a  cuatro (4,0) sobre cinco (5.0). </t>
  </si>
  <si>
    <t>Tramite</t>
  </si>
  <si>
    <t>Variable</t>
  </si>
  <si>
    <t>Año 2016</t>
  </si>
  <si>
    <t>Año 2017</t>
  </si>
  <si>
    <t>Año 2018</t>
  </si>
  <si>
    <t>Año 2019</t>
  </si>
  <si>
    <t>Con corte a 30/09/2016</t>
  </si>
  <si>
    <t>Con corte a:</t>
  </si>
  <si>
    <t>Licencia Ambiental (71 días hábiles)</t>
  </si>
  <si>
    <t>TL.A. Tiempo efectivo de duración del trámite de otorgamiento de licencias ambientales  (número de días)</t>
  </si>
  <si>
    <t>Trimestre 1</t>
  </si>
  <si>
    <t>Trimestre 2</t>
  </si>
  <si>
    <t>Trimestre 3</t>
  </si>
  <si>
    <t>Trimestre 4</t>
  </si>
  <si>
    <t>N L.A.: Número de solicitudes de licencia ambiental atendidos</t>
  </si>
  <si>
    <t>Tx L.A. Tiempo promedio efectivo de duración del trámite de licencias ambientales</t>
  </si>
  <si>
    <t>Concesiones de agua (Superficial y subterránea)- 55 días hábiles</t>
  </si>
  <si>
    <t>T C.A.S. Tiempo efectivo de duración del trámite de otorgamiento de una concesión de agua (número de días)</t>
  </si>
  <si>
    <t>N C.A.S.: Número de solicitudes de concesión de agua recibidas en el periodo.</t>
  </si>
  <si>
    <t>Tx C.A.S. Tiempo promedio efectivo de duración del trámite de Concesiones de Agua.</t>
  </si>
  <si>
    <t>Permisos de vertimiento de agua</t>
  </si>
  <si>
    <t>TP.V. Tiempo efectivo de duración del trámite de otorgamiento de un permiso de vertimiento (número de días)</t>
  </si>
  <si>
    <t>N P.V.: Número de solicitudes de permisos de vertimiento recibidas en el periodo.</t>
  </si>
  <si>
    <t>Tx P.V. Tiempo promedio efectivo de duración del trámite de otorgamiento de un permiso de vertimiento.</t>
  </si>
  <si>
    <t xml:space="preserve">Permisos de aprovechamiento forestal </t>
  </si>
  <si>
    <t>N A.F. Número de solicitudes de permisos de aprovechamiento forestal recibidas en el periodo</t>
  </si>
  <si>
    <t>Tx A.F. Tiempo promedio efectivo de duración del trámite de otorgamiento de un permiso de aprovechamiento forestal</t>
  </si>
  <si>
    <t xml:space="preserve">Permisos de emisiones atmosféricas </t>
  </si>
  <si>
    <t xml:space="preserve">TP.E. Tiempo efectivo de duración del trámite de otorgamiento de un permiso de emisión (número de días) </t>
  </si>
  <si>
    <t>NA</t>
  </si>
  <si>
    <t>N P.E. Número de solicitudes de permisos de emisiones atmosféricas recibidas en el periodo</t>
  </si>
  <si>
    <t>Tx P.E. Tiempo promedio efectivo de duración del trámite de otorgamiento de un permiso de emisión</t>
  </si>
  <si>
    <t>VIGENCIA</t>
  </si>
  <si>
    <t>TRAMITE</t>
  </si>
  <si>
    <t>Periodo</t>
  </si>
  <si>
    <t>No. De tramites resueltos en Tiempo oportuno</t>
  </si>
  <si>
    <t>No. Total de trámites resueltos</t>
  </si>
  <si>
    <t xml:space="preserve"> Aprovechamientos Forestales Persistentes</t>
  </si>
  <si>
    <t>Permisos de Emisiones atmosfericas</t>
  </si>
  <si>
    <t>SEGUIMIENTO EN FUNCION DE LA CANTIDAD DE TRAMITES</t>
  </si>
  <si>
    <t>Total PAI</t>
  </si>
  <si>
    <t xml:space="preserve">%  Licencias ambientales con seguimiento </t>
  </si>
  <si>
    <t>Porcentaje de concesiones de agua con seguimiento (PCACS)</t>
  </si>
  <si>
    <t>Porcentaje de permisos de vertimiento de agua con seguimiento (PVACS)</t>
  </si>
  <si>
    <t>Porcentaje de permisos de aprovechamiento forestal con seguimiento (PPAFCS)</t>
  </si>
  <si>
    <t>Porcentaje de permisos de emisiones atmosféricas con seguimiento (PEACS)</t>
  </si>
  <si>
    <t>Total trámites</t>
  </si>
  <si>
    <t xml:space="preserve">Meta de Revisión </t>
  </si>
  <si>
    <t>Para 2016</t>
  </si>
  <si>
    <t>Para 2017</t>
  </si>
  <si>
    <t>Para 2018</t>
  </si>
  <si>
    <t>Para 2019</t>
  </si>
  <si>
    <t xml:space="preserve">Variable </t>
  </si>
  <si>
    <t>Con Corte a la vigencia</t>
  </si>
  <si>
    <t xml:space="preserve">Licencia Ambiental </t>
  </si>
  <si>
    <t xml:space="preserve">Número total de licencias ambientales vigentes y aprobadas por la Corporación a </t>
  </si>
  <si>
    <t>Meta de licencias ambientales con seguimiento (MLACS)</t>
  </si>
  <si>
    <t>Número total de licencias ambientales priorizadas por la Corporación para hacer seguimiento en el cuatrienio</t>
  </si>
  <si>
    <t>Número de licencias ambientales con seguimiento (LACS)</t>
  </si>
  <si>
    <t>Porcentaje de licencias ambientales con seguimiento (PLACS)</t>
  </si>
  <si>
    <t>Concesiones de agua (Superficial y subterránea)</t>
  </si>
  <si>
    <t>Número de usuarios de agua a 31/12/2015</t>
  </si>
  <si>
    <t>Meta de número de concesiones de agua con seguimiento (MCACS)</t>
  </si>
  <si>
    <t>Número de concesiones de agua otorgadas a 31/12/2015</t>
  </si>
  <si>
    <t>Número de concesiones de agua con seguimiento (CACS)</t>
  </si>
  <si>
    <t xml:space="preserve">Número de captaciones de agua otorgadas a </t>
  </si>
  <si>
    <t xml:space="preserve">Permisos de vertimiento de agua </t>
  </si>
  <si>
    <t>Número de usuarios de vertimientos de agua a 30/09/2016</t>
  </si>
  <si>
    <t>Meta de número de permisos de vertimiento de agua con seguimiento (MVACS)</t>
  </si>
  <si>
    <t>Número de permisos de vertimiento de agua otorgadas a  30/09/2016</t>
  </si>
  <si>
    <t>Número de permisos de vertimiento de agua con seguimiento (VACS)</t>
  </si>
  <si>
    <t>Número de puntos de vertimientos a  30/09/2016</t>
  </si>
  <si>
    <t>Número de usuarios de permisos de aprovechamiento forestal a30/06/2016</t>
  </si>
  <si>
    <t>Meta de número de permisos de aprovechamiento forestal con seguimiento (MPAFCS)</t>
  </si>
  <si>
    <t>Número de permisos de aprovechamiento forestal vigentes a 30/06/2016</t>
  </si>
  <si>
    <t>Número de permisos de aprovechamiento forestal con seguimiento (PAFCS)</t>
  </si>
  <si>
    <t xml:space="preserve">Seguimiento de permisos de emisiones atmosféricas </t>
  </si>
  <si>
    <t>Número de usuarios de permisos de emisiones atmosféricas a 31/12/2015</t>
  </si>
  <si>
    <t>Meta de número de permisos de emisiones atmosféricas con seguimiento (MPEACS)</t>
  </si>
  <si>
    <t>Número de permisos de emisiones atmosféricas vigentes a 31/12/2015</t>
  </si>
  <si>
    <t>Número de permisos de emisiones atmosféricas con seguimiento (EACS)</t>
  </si>
  <si>
    <t>TOTAL TRAMITES</t>
  </si>
  <si>
    <t>Meta de seguimiento</t>
  </si>
  <si>
    <t>Cantidad de autorizaciones con seguimiento</t>
  </si>
  <si>
    <t>Porcentaje de seguimiento</t>
  </si>
  <si>
    <t>SEGUIMIENTO EN FUNCION DEL VOLUMEN OTORGADO</t>
  </si>
  <si>
    <t>Total Trámites</t>
  </si>
  <si>
    <t>Número total de licencias ambientales vigentes y aprobadas por la Corporación a</t>
  </si>
  <si>
    <t>Meta de concesiones de agua con seguimiento (MCACSMC)</t>
  </si>
  <si>
    <t>Volumen de concesiones de agua otorgadas a 31/12/2015</t>
  </si>
  <si>
    <t>Concesiones de agua con seguimiento (CACSMC)</t>
  </si>
  <si>
    <t>Número de captaciones de agua otorgadas a 31/12/2015</t>
  </si>
  <si>
    <t>Porcentaje de concesiones de agua con seguimiento (PCACSMC)</t>
  </si>
  <si>
    <t>Número de usuarios de vertimientos de agua a</t>
  </si>
  <si>
    <t>Meta de permisos de vertimiento de agua con seguimiento (MVACSMC)</t>
  </si>
  <si>
    <t xml:space="preserve">Número de permisos de vertimiento de agua otorgadas a </t>
  </si>
  <si>
    <t>Permisos de vertimiento de agua con seguimiento (VACSMC)</t>
  </si>
  <si>
    <t xml:space="preserve">Número de puntos de vertimientos a </t>
  </si>
  <si>
    <t>Porcentaje de permisos de vertimiento de agua con seguimiento (PVACSMC)</t>
  </si>
  <si>
    <t>Meta de permisos de aprovechamiento forestal con seguimiento (MPACFSMC)</t>
  </si>
  <si>
    <t>Permisos de aprovechamiento forestal con seguimiento (PAFCSMC)</t>
  </si>
  <si>
    <t>Porcentaje de permisos de aprovechamiento forestal con seguimiento (PPAFCSMC)</t>
  </si>
  <si>
    <t>Número de usuarios de permisos de emisiones atmosféricas a 30/06/2016</t>
  </si>
  <si>
    <t>Número de permisos de emisiones atmosféricas vigentes a 30/06/2016</t>
  </si>
  <si>
    <r>
      <t xml:space="preserve">Variable  </t>
    </r>
    <r>
      <rPr>
        <b/>
        <sz val="9"/>
        <color theme="1"/>
        <rFont val="Calibri"/>
        <family val="2"/>
        <scheme val="minor"/>
      </rPr>
      <t>Porcentaje de Procesos Sancionatorios Resueltos (PPSR)</t>
    </r>
  </si>
  <si>
    <t>Número de actos administrativos de iniciación de procedimiento sancionatorio expedidos (AIPS)</t>
  </si>
  <si>
    <t>Número de actos administrativos de determinación de la responsabilidad expedidos en la vigencia (ADR)</t>
  </si>
  <si>
    <t>Número de actos administrativos de cesación de procedimiento expedidos en la vigencia (ACP)</t>
  </si>
  <si>
    <t>Porcentaje de Procesos Sancionatorios Resueltos (PPSR)</t>
  </si>
  <si>
    <t>Porcentaje de quejas y contravenciones ambientales atendidas.</t>
  </si>
  <si>
    <r>
      <t xml:space="preserve">Variable  </t>
    </r>
    <r>
      <rPr>
        <b/>
        <sz val="9"/>
        <color theme="1"/>
        <rFont val="Calibri"/>
        <family val="2"/>
        <scheme val="minor"/>
      </rPr>
      <t>Porcentaje de Quejas y contravenciones ambientales atendidas</t>
    </r>
  </si>
  <si>
    <t>Número de quejas y/o denuncias recibidas</t>
  </si>
  <si>
    <t>Número de quejas atendidas que cuentan con una visita y/o concepto tecnico</t>
  </si>
  <si>
    <t>Porcentaje de quejas o denuncias sobre daños ambientales atendidas</t>
  </si>
  <si>
    <t>Territorial Centro</t>
  </si>
  <si>
    <t>Territorial Atrato</t>
  </si>
  <si>
    <t>Territorial Caribe</t>
  </si>
  <si>
    <t>Territorial Nutibara</t>
  </si>
  <si>
    <t>Territorial Urrao</t>
  </si>
  <si>
    <t>Todas las Territoriales</t>
  </si>
  <si>
    <t>N° DE CAPACITACIONES Y REINDUCCIONES REALIZADAS EN LA APLICACIÓN DE LOS PROCEDIMIENTOS Y MANEJO DE APLICATIVOS FINANCIEROS Y/O CONTABLES.</t>
  </si>
  <si>
    <t xml:space="preserve">Una capacitación y/o reinducción </t>
  </si>
  <si>
    <t>Una o mas capacitaciones</t>
  </si>
  <si>
    <t>O capacitaciones</t>
  </si>
  <si>
    <t>POLÍTICAS Y PROCEDIMIENTOS REVISADOS Y ACTUALIZADOS PARA EFECTUAR LOS RECAUDOS DE CARTERA</t>
  </si>
  <si>
    <t>N° Políticas y procedimientos revisados y actualizados</t>
  </si>
  <si>
    <t>Mide la actualización de las políticas y procedimientos en materia de recaudo de cartera actualizados de acuerdo a los cambios normativos</t>
  </si>
  <si>
    <t>1 documento actualizado</t>
  </si>
  <si>
    <t>0 documentos</t>
  </si>
  <si>
    <t>N° de Aplicativos implementados</t>
  </si>
  <si>
    <r>
      <t>Mide el número aplicativos financieros y contables implementados, con el fin de contribuir en la minimización o anulación de un posible "</t>
    </r>
    <r>
      <rPr>
        <i/>
        <sz val="11"/>
        <color theme="1"/>
        <rFont val="Verdana"/>
        <family val="2"/>
      </rPr>
      <t>Retrazo o reproceso en la ejecución de las actividades financieras y contables".</t>
    </r>
  </si>
  <si>
    <t>1 aplicativo</t>
  </si>
  <si>
    <t>% IMPLEMENTACIÓN DE DOBLE CLAVE EN LOS PAGOS A TRAVÉS DE LOS PORTALES VIRTUALES</t>
  </si>
  <si>
    <t>% de Entidades financiera con dobles claves implementadas</t>
  </si>
  <si>
    <t>Mide el porcentaje de entidades en las que se implementa el control de la doble clave en los pagos a través de los portales virtuales</t>
  </si>
  <si>
    <t>100% (corresponde a tres entidades)</t>
  </si>
  <si>
    <t>100%  Entidades financiera</t>
  </si>
  <si>
    <t>66% Entidades financiera</t>
  </si>
  <si>
    <t>0 a 65% Entidades financiera</t>
  </si>
  <si>
    <t>% DEPURACIÓN DE LA CARTERA DEPURADA DE LA CORPORACIÓN</t>
  </si>
  <si>
    <t>% de cartera depurada</t>
  </si>
  <si>
    <t>Mide el porcentaje de la cartera depurada de la entidad, revisando factura con respecto a los pagos efectuado por los usuarios</t>
  </si>
  <si>
    <t>6-10% cartera depurada</t>
  </si>
  <si>
    <t>3-5% cartera depurada</t>
  </si>
  <si>
    <t>1-2% cartera depurada</t>
  </si>
  <si>
    <t>Al segundo trimestre de 2015 estamos cumplimiernto con la meta de este indicador,  debido al cruce permanente entre las áreas de contabilidad y cobro coactivo para hacer mas efectivo las funciones en materia de cobros a traves de la firma de acuerdos de pago con las diferentes administraciones municipales y con usuarios de la Corporación, al igual se implemento estrategias de cobro en el área finanicera mediante comunicación permanente con las Secretaría de Hacienda de los municipios para el cumplimiento de la cuota pactada. Para el tercer y cuarto trimestre el comportamiento del recaudo de cartera del 2015 frente al 2014 presentó un aumento.</t>
  </si>
  <si>
    <t>Este indicador es nuevo para el 2016, indica el porcentaje de recuperación de cartera frente a la meta presupuestada para la vigencia actual que es de $2.370.000.000, al tercer trimestre del 2016, el indicador muestra una MUY BAJA recuperación alcanzando tan solo un 11.7% sobre el valor propuesto para la presente vigencia. Por lo anterior se deben replantear las estrategias de cobro para mejorar el indicador.</t>
  </si>
  <si>
    <t>Se cumple la meta al 100%.</t>
  </si>
  <si>
    <t>Se implementó el nuevo software SINAP V6 para los procesos de área financiera.</t>
  </si>
  <si>
    <r>
      <t xml:space="preserve">Este indicador mide el porcentaje de ingresos facturados en la vigencia, frente a la meta presupuestada recaudar para la vigencia 2016. Se han facturado por todos los conceptos de cobro  $7,236,729,575 de los cuales al tercer trimestre se ha recaudado $5,764,541,790 equivalente al 82,23%, por lo que se puede decir que la ejecución de ingresos de la vigencia es satisfactoria. </t>
    </r>
    <r>
      <rPr>
        <b/>
        <u/>
        <sz val="14"/>
        <rFont val="Verdana"/>
        <family val="2"/>
      </rPr>
      <t>Este indicador es nuevo para el 2016, por lo tanto no debe quedar en esta posición se debe crearse en la posición arriba o en un archivo nuevo.</t>
    </r>
  </si>
  <si>
    <r>
      <t xml:space="preserve">Nº DE CAPACITACIONES REALIZADAS SOBRE </t>
    </r>
    <r>
      <rPr>
        <b/>
        <u/>
        <sz val="10"/>
        <color rgb="FFFF0000"/>
        <rFont val="Arial"/>
        <family val="2"/>
      </rPr>
      <t>MARCO LÓGICO</t>
    </r>
    <r>
      <rPr>
        <u/>
        <sz val="10"/>
        <color indexed="12"/>
        <rFont val="Arial"/>
        <family val="2"/>
      </rPr>
      <t>, HERRAMIENTAS NACIONALES PARA GESTIÓN DE PROYECTOS, CUMPLIMIENTO DEL PROCESOS DE PROYECTOS Y MANEJO MODULO DE PROYECTOS</t>
    </r>
  </si>
  <si>
    <t>De 80% a 89,9%</t>
  </si>
  <si>
    <r>
      <t xml:space="preserve">PORCENTAJE DE PROYECTOS CON SEGUIMIENTO FÍSICO Y FINANCIERO </t>
    </r>
    <r>
      <rPr>
        <b/>
        <u/>
        <sz val="10"/>
        <color rgb="FFFF0000"/>
        <rFont val="Arial"/>
        <family val="2"/>
      </rPr>
      <t xml:space="preserve">EN EL APLICATIVO CITA </t>
    </r>
    <r>
      <rPr>
        <u/>
        <sz val="10"/>
        <color indexed="12"/>
        <rFont val="Arial"/>
        <family val="2"/>
      </rPr>
      <t>Y CON CUMPLIMIENTO DE LOS REQUISITOS</t>
    </r>
  </si>
  <si>
    <r>
      <t xml:space="preserve">(N° de proyectos con seguimiento físico y financiero en el </t>
    </r>
    <r>
      <rPr>
        <sz val="11"/>
        <color rgb="FFFF0000"/>
        <rFont val="Verdana"/>
        <family val="2"/>
      </rPr>
      <t>aplicativo CITA</t>
    </r>
    <r>
      <rPr>
        <sz val="11"/>
        <color theme="1"/>
        <rFont val="Verdana"/>
        <family val="2"/>
      </rPr>
      <t>/ N° de proyectos 2016)*100.</t>
    </r>
  </si>
  <si>
    <r>
      <t xml:space="preserve">Mide la proporción de los proyectos 2016 a los cuales se les realiza seguimiento  de las metas físicas y financieras en el </t>
    </r>
    <r>
      <rPr>
        <sz val="11"/>
        <color rgb="FFFF0000"/>
        <rFont val="Verdana"/>
        <family val="2"/>
      </rPr>
      <t>aplicativo CITA</t>
    </r>
    <r>
      <rPr>
        <sz val="11"/>
        <color theme="1"/>
        <rFont val="Verdana"/>
        <family val="2"/>
      </rPr>
      <t xml:space="preserve">, con el fin de contribuir en la minimización o anulación de un posible </t>
    </r>
    <r>
      <rPr>
        <i/>
        <sz val="11"/>
        <color theme="1"/>
        <rFont val="Verdana"/>
        <family val="2"/>
      </rPr>
      <t>"Incumplimiento de metas físicas y financieras de los proyectos"</t>
    </r>
    <r>
      <rPr>
        <sz val="11"/>
        <color theme="1"/>
        <rFont val="Verdana"/>
        <family val="2"/>
      </rPr>
      <t>.</t>
    </r>
  </si>
  <si>
    <t>Calidad del Servicio - Riesgos</t>
  </si>
  <si>
    <t>Calidad del Servicio - Satisfacción</t>
  </si>
  <si>
    <t>NUMERO DE OBRAS CONSTRUÍDAS</t>
  </si>
  <si>
    <t>N° de sistemas alternos de abastecimiento de agua construidos</t>
  </si>
  <si>
    <t>Mide el número de sistemas alternos construídos para asegurar agua permanente en el Laboratorio requerida para el buen funcionamiento</t>
  </si>
  <si>
    <t>0  sistemas construidos</t>
  </si>
  <si>
    <t>1 Sistema de soporte construído</t>
  </si>
  <si>
    <t>INTERVENCIÓN DE REDES ELECTRÍCAS</t>
  </si>
  <si>
    <t>N° de redes electrícas intervenidas</t>
  </si>
  <si>
    <t>Mide la intervención de redes electrícas para asegurar energía permanente en el Laboratorio de Aguas</t>
  </si>
  <si>
    <t>Una red electríca Una red Eléctrica intervenida</t>
  </si>
  <si>
    <t>1 red Eléctrica intervenida</t>
  </si>
  <si>
    <t>1 mantenimiento general realizado</t>
  </si>
  <si>
    <t>CAPACITACIÓN DEL PERSONAL EN POLITICAS, VALORES CORPORATIVOS Y ESTRATEGIA ANTICORRUPCIÓN DE LA ENTIDAD</t>
  </si>
  <si>
    <t>Mide el número personas capacitadas del laboratorio en políticas, valores corporativos y estrategia anticorrupción de la entidad.</t>
  </si>
  <si>
    <t>100% personas capacitadas</t>
  </si>
  <si>
    <t>SEGUIMIENTO EN CITA DE LOS ANÁLISIS REALIZADOS EN EL LABORATORIO</t>
  </si>
  <si>
    <t>% de resultados generados en CITA</t>
  </si>
  <si>
    <t>Mide el % de resultados generados en CITA</t>
  </si>
  <si>
    <t>98% de resultados en CITA</t>
  </si>
  <si>
    <t>98% a 100%.</t>
  </si>
  <si>
    <t>Entre 95% y 97%.</t>
  </si>
  <si>
    <t>Menos del 95%</t>
  </si>
  <si>
    <t>Calidad del Servicio - Mejoramiento</t>
  </si>
  <si>
    <t>Calidad del Servicio - Procedimiento</t>
  </si>
  <si>
    <t>Planes Ambientales Corporativos implementados - Riesgos</t>
  </si>
  <si>
    <t>REALIZACIÓN DE CAPACITACIONES A LOS FUNCIONARIOS EN PROYECTOS Y ADMINISTRACIÓN EN EL APLICATIVO CITA.</t>
  </si>
  <si>
    <t>Mide el fortalecimiento de los funcionarios en el seguimiento del proyecto en el aplicativo CITA</t>
  </si>
  <si>
    <t>0 capacitaciones</t>
  </si>
  <si>
    <t>REALIZACIÓN DE CAPACITACIONES A LOS FUNCIONARIOS EN NORMATIVIDAD, PROCEDIMIENTOS Y APLICATIVO CITA.</t>
  </si>
  <si>
    <t>Realización de capacitaciones a los funcionarios en normatividad, procedimientos y aplicativo CITA.</t>
  </si>
  <si>
    <t>Mide Número de capacitaciones a los funcionarios en normatividad, procedimientos y aplicativo CITA.</t>
  </si>
  <si>
    <t xml:space="preserve">3 eventos de capacitación </t>
  </si>
  <si>
    <t>Líder de proceso.
Coordinadores de área
Subdirecciones de Gestión ambiental y área jurídica</t>
  </si>
  <si>
    <t>Calidad del Servicio- riesgos</t>
  </si>
  <si>
    <t>DESARROLLAR SEGUIMIENTO QUINCENAL  A LOS TRAMITES QUE TIENEN RIESGO DE INCUMPLIMIENTO DE LOS TIEMPOS ESTABLECIDOS PARA DAR RESPUESTA A LOS USUARIOS</t>
  </si>
  <si>
    <t>% de tramites ambientales con cumplimiento de tiempos</t>
  </si>
  <si>
    <t>GESTIONAR Y PARTICIPAR EN LOS COMITES INTERINSTITUCIONALES PARA COORDINAR LA APLICACIÓN DE LA NORMATIVIDAD Y EL EJERCICIO DE LA AUTORIDAD AMBIENTAL</t>
  </si>
  <si>
    <t>N° de comites interinstitucional</t>
  </si>
  <si>
    <t>Mide el N° de comites interinstitucional</t>
  </si>
  <si>
    <t xml:space="preserve">4 Comites </t>
  </si>
  <si>
    <t>4 Comites operando</t>
  </si>
  <si>
    <t>2 Comites operando</t>
  </si>
  <si>
    <t>1 Comites operando</t>
  </si>
  <si>
    <t>Cumplimiento- riesgos</t>
  </si>
  <si>
    <t>CAPACITACIÓN Y SOCIALIZACIÓN DE TEMA COMO VALORES CORPORATIVOS, CÓDIGO DE ÉTICA, CÓDIGO ÚNICO DISCIPLINARIO</t>
  </si>
  <si>
    <t>4 Capacitaciones y/o socialización</t>
  </si>
  <si>
    <t>N° de capacitaciones y/o socializaciones</t>
  </si>
  <si>
    <t>Mide el  N° de capacitaciones y/o socializaciones</t>
  </si>
  <si>
    <t xml:space="preserve">4 Capacitaciones y/o socializaciones </t>
  </si>
  <si>
    <t>2 Capacitaciones y/o socializaciones</t>
  </si>
  <si>
    <t>1 Capacitaciones y/o socializaciones</t>
  </si>
  <si>
    <t>Calidad del Servicio-objetivos</t>
  </si>
  <si>
    <t>Calidad del Servicio-indicador externo</t>
  </si>
  <si>
    <t>Calidad del Servicio-mejoramiento</t>
  </si>
  <si>
    <t>Talento Humano Competente-riesgos</t>
  </si>
  <si>
    <t>Mejora Continua-riesgos</t>
  </si>
  <si>
    <t>% DEL USO DE LA HERRAMIENTA FINANCIERA</t>
  </si>
  <si>
    <t>% del uso de la herramienta financiera</t>
  </si>
  <si>
    <t>Mide el % del uso de la herramienta financiera</t>
  </si>
  <si>
    <t>100% utilización de herramientas financieras</t>
  </si>
  <si>
    <t>100% de uso</t>
  </si>
  <si>
    <t>entre 98 y 99,9% de uso</t>
  </si>
  <si>
    <t>menos del 98% de uso</t>
  </si>
  <si>
    <t xml:space="preserve">Líder de proceso
Coordinador Administrativo
</t>
  </si>
  <si>
    <t>PÓLIZA DE SEGURO ADQUIRIDA</t>
  </si>
  <si>
    <t>Póliza de seguro adquirida</t>
  </si>
  <si>
    <t>Mide el número de Pólizas de seguro adquirida</t>
  </si>
  <si>
    <t>1 póliza</t>
  </si>
  <si>
    <t>0 pólizas</t>
  </si>
  <si>
    <t>TP.E. Tiempo efectivo de duración del trámite de otorgamiento de un permiso de aprov forestal (número de días)</t>
  </si>
  <si>
    <t>AÑO 2016</t>
  </si>
  <si>
    <t>AÑO 2017</t>
  </si>
  <si>
    <t>Porcentaje</t>
  </si>
  <si>
    <t>Número de usuarios de permisos de aprovechamiento forestal vigentes a 30/06/2016. Para 2017 se toma con corte a 31/12/2016</t>
  </si>
  <si>
    <t>Volumen otorgado (m3 en bruto) de permisos de aprovechamiento forestal vigentes a 30/06/2016. Para 2017 se toma con corte a 31/12/2016</t>
  </si>
  <si>
    <t>Se cumplió al 100% con la acción programada. Una capacitación y reinducción realizada el 20 de julio y 13 de septiembre de 2017. y capacitaciones para implementar modulo de contratación y cobro coactivo. Ver evidencias en P:\MANUALES SINAP\CAPACITACIONES\2017, se realizó además capacitación en liquidación de nómina, manejos de SIIF Tesoreria</t>
  </si>
  <si>
    <t>Capacitación y reinducción a personal de Contabilidad, presupuesto, nomina, tesoreria, taquilla, cobro coactivo, almacén y contratación</t>
  </si>
  <si>
    <t>Se realizó la revisión y actualización de las políticas y procedimientos para efectuar cobro persuasivo y coactivo y se conformo comité de cartera</t>
  </si>
  <si>
    <t>Se cumplió la meta al 100%, ya que se implementó la doble clave en todas las entidades financieras don se tienen cuentas</t>
  </si>
  <si>
    <t xml:space="preserve">Se implemento la doble clave para la aprobación de los pagos por transferencia electrónica vía portal empresarial y doble firma para transacciones con cheques u otro medio fisico. </t>
  </si>
  <si>
    <t>Se depuro cartera con municipios y Empresas Prestadoras de Servicio, se depuró cartera con Hidroelectricas y se avanzo con cartera de bananeros que sumadas conforman el % del total de la cartera, quedando pendientes clientes con menor valor como cafeterios, clientes de laboratorios y otros</t>
  </si>
  <si>
    <r>
      <t xml:space="preserve">Se continua realizando circularización con los clientes (bananeros, cafeteros, servicios laboratorios, multas y sanciones entre otros, para cerrar el ciclo y dejar la cartera 100% depurada
</t>
    </r>
    <r>
      <rPr>
        <sz val="12"/>
        <color rgb="FFFF0000"/>
        <rFont val="Verdana"/>
        <family val="2"/>
      </rPr>
      <t>Para que revisemos</t>
    </r>
  </si>
  <si>
    <t xml:space="preserve"> polizas adquiridas</t>
  </si>
  <si>
    <t>polizas adquiridas</t>
  </si>
  <si>
    <t xml:space="preserve">Se aprobaron 13 proyectos </t>
  </si>
  <si>
    <r>
      <t xml:space="preserve">TIPO DE INDICADOR
</t>
    </r>
    <r>
      <rPr>
        <sz val="10"/>
        <color indexed="8"/>
        <rFont val="Verdana"/>
        <family val="2"/>
      </rPr>
      <t>(Favor registre si es de meta máxima, meta mínima o de máximo y minimo)</t>
    </r>
  </si>
  <si>
    <r>
      <t xml:space="preserve">NIVEL DE CUMPLIMIENTO
</t>
    </r>
    <r>
      <rPr>
        <sz val="10"/>
        <color indexed="8"/>
        <rFont val="Verdana"/>
        <family val="2"/>
      </rPr>
      <t>(Favor registre los valores del indicador correspondientes a los posibles resultados)</t>
    </r>
  </si>
  <si>
    <r>
      <t xml:space="preserve">Lider del Proceso </t>
    </r>
    <r>
      <rPr>
        <sz val="8"/>
        <color indexed="8"/>
        <rFont val="Verdana"/>
        <family val="2"/>
      </rPr>
      <t>(Subdirector de Gestión y Administración Ambiental con el apoyo de Equipo de Trabajo)</t>
    </r>
  </si>
  <si>
    <t>Con corte a 31/12/2016</t>
  </si>
  <si>
    <t>Con corte a 31/12/2017:</t>
  </si>
  <si>
    <r>
      <t>Permisos de vertimiento de agua</t>
    </r>
    <r>
      <rPr>
        <sz val="9"/>
        <color indexed="10"/>
        <rFont val="Verdana"/>
        <family val="2"/>
      </rPr>
      <t xml:space="preserve"> </t>
    </r>
  </si>
  <si>
    <t>Permisos de Emisiones Atmosfericas</t>
  </si>
  <si>
    <t xml:space="preserve">AÑO 2017 </t>
  </si>
  <si>
    <t xml:space="preserve"> Concesiones de Aguas Subterráneas y Superficiales </t>
  </si>
  <si>
    <r>
      <t>Permisos de Vertimientos</t>
    </r>
    <r>
      <rPr>
        <sz val="14"/>
        <color indexed="10"/>
        <rFont val="Verdana"/>
        <family val="2"/>
      </rPr>
      <t xml:space="preserve"> </t>
    </r>
  </si>
  <si>
    <t xml:space="preserve"> Aprovechamientos Forestales Persistentes </t>
  </si>
  <si>
    <t>Corte a 30/12/2017</t>
  </si>
  <si>
    <t>Con corte a: 31/12/2016</t>
  </si>
  <si>
    <t>Con corte a: 30/12/2017</t>
  </si>
  <si>
    <t>Corte a 31/12/2017</t>
  </si>
  <si>
    <t xml:space="preserve">Volumen (m3/sg) de permisos de vertimiento de agua otorgadas a </t>
  </si>
  <si>
    <t>Volumen  de permisos de aprovechamiento forestal vigentes a 30/06/2016. Para 2017 se toma con corte a 31/12/2016</t>
  </si>
  <si>
    <r>
      <t xml:space="preserve">Variable  </t>
    </r>
    <r>
      <rPr>
        <b/>
        <sz val="9"/>
        <color indexed="8"/>
        <rFont val="Calibri"/>
        <family val="2"/>
      </rPr>
      <t>Porcentaje de Procesos Sancionatorios Resueltos (PPSR)</t>
    </r>
  </si>
  <si>
    <r>
      <t xml:space="preserve">Variable  </t>
    </r>
    <r>
      <rPr>
        <b/>
        <sz val="9"/>
        <color indexed="8"/>
        <rFont val="Calibri"/>
        <family val="2"/>
      </rPr>
      <t>Porcentaje de Quejas y contravenciones ambientales atendidas</t>
    </r>
  </si>
  <si>
    <t>TOTAL PAI</t>
  </si>
  <si>
    <r>
      <t xml:space="preserve">Centro
</t>
    </r>
    <r>
      <rPr>
        <sz val="14"/>
        <color indexed="8"/>
        <rFont val="Verdana"/>
        <family val="2"/>
      </rPr>
      <t xml:space="preserve">
</t>
    </r>
  </si>
  <si>
    <r>
      <t xml:space="preserve">De acuerdo con el módulo de GESTIÓN DE PROYECTOS, se realizó el seguimiento físico y financiero a 19 proyectos con corte a junio 30/2015 como lo establecen los procedimietos del SGC; la información se registra en el formato R-GP-06 "SEGUIMIENTO POAI". En la siguiente tabla se observa la información correspondiente al seguimiento de los proyectos:
</t>
    </r>
    <r>
      <rPr>
        <b/>
        <sz val="10"/>
        <color theme="1"/>
        <rFont val="Verdana"/>
        <family val="2"/>
      </rPr>
      <t>PROYECTO  -  SEGUIMIENTO FÍSICO  -   SEGUIMIENTO FINANCIERO</t>
    </r>
    <r>
      <rPr>
        <sz val="10"/>
        <color theme="1"/>
        <rFont val="Verdana"/>
        <family val="2"/>
      </rPr>
      <t xml:space="preserve">
Implementación del plan de manejo de humedales del Atrato 
Consolidación Sistema Regional de Areas Protegidas de la Jurisdiccioón de CORPOURABA -
Ordenamiento y manejo del Complejo de páramos Frontino - Urrao 
Plan Regional de conservación y Restauración de Bosques 
Establecimiento, mantenimiento, restauración y conservación de bosques (TSE) 
Ajuste e  Implementación  Plan de Manejo Unidad Ambiental Costera del Darién - PGN 
Ordenación de Cuencas -
Plan integral de protección y manejo de aguas subterráneas
Regulación del uso de recursos hídricos e instrumentos económicos 
Cofinanciación Proyectos FRDH
Saneamiento ambiental 
Apoyo en la gestión del riesgo y adaptación al cambio climático 
Apoyo a la implementación de Producción y Consumo Sostenible 
Mejoramiento continuo de la gestión misional 
Fortalecimiento del Laboratorio
Consolidación del Hogar de Paso de Fauna Sivestre 
Fortalecimiento de la gestión como Autoridad Ambiental Comunicación y divulgacion para la promocion de una cultura ambiental 
Educacion Ambiental
</t>
    </r>
  </si>
  <si>
    <t>Se realizaron 6 capacitaciones documentadas a personal externo que realizan proyectos y 5 sin documentar, mas los envíos por correo y atenciones telefónicas.</t>
  </si>
  <si>
    <t>Cuatro funcionarios fueron enviados a Bogotá a capacitación en marco  lógico y formulación de pytos del FCA.
Reunión sobre modulo de proyectos del aplicativo CITA, realizado por IWEB.</t>
  </si>
  <si>
    <t>PORCENTAJE (%) DE CUMPLIMIENTO DE LAS METAS FÍSICAS ANUALES PROGRAMADAS DEL PLAN DE ACCIÓN INSTITUCIONAL.</t>
  </si>
  <si>
    <r>
      <t xml:space="preserve">TIPO DE INDICADOR
</t>
    </r>
    <r>
      <rPr>
        <sz val="10"/>
        <color theme="0"/>
        <rFont val="Arial"/>
        <family val="2"/>
      </rPr>
      <t>(Favor registre si es de meta máxima, meta mínima o de máximo y minimo)</t>
    </r>
  </si>
  <si>
    <r>
      <t xml:space="preserve">NIVEL DE CUMPLIMIENTO
</t>
    </r>
    <r>
      <rPr>
        <sz val="10"/>
        <color theme="0"/>
        <rFont val="Arial"/>
        <family val="2"/>
      </rPr>
      <t>(Favor registre los valores del indicador correspondientes a los posibles resultados)</t>
    </r>
  </si>
  <si>
    <t xml:space="preserve">Resultados </t>
  </si>
  <si>
    <t>Dato</t>
  </si>
  <si>
    <t>7. PORCENTAJE (%) DE CUMPLIMIENTO POR PROCESO DE LA META MADS DEL INDICE DE EVALUACIÓN DE DESEMPEÑO INSTITUCIONAL -IEDI</t>
  </si>
  <si>
    <t>Cumplimiento de metas del Plan de Acción Institucional por Parte del Proceso/Total Metas del Plan de Acción Institucional Aplicable al Proceso</t>
  </si>
  <si>
    <t>Determina el porcentaje de cumplimiento de metas del Plan de Acción Institucional Aplicable al Proceso</t>
  </si>
  <si>
    <t>Análisis de Datos</t>
  </si>
  <si>
    <t>Meta del MADS para la vigencia</t>
  </si>
  <si>
    <t>N° Total de metas del proceso en el IEDI</t>
  </si>
  <si>
    <t>(N° de Metas cumplidas del proceso en el IEDI / N°Total de metas del proceso en el IEDI))/meta del MADS para la vigencia</t>
  </si>
  <si>
    <t>N° de Metas cumplidas del proceso en el IEDI</t>
  </si>
  <si>
    <t xml:space="preserve"> N° metas de indicadores mínimos de gestión relacionadas al proceso cumplidas</t>
  </si>
  <si>
    <t>N° de metas de indicadores mínimos de gestión relacionadas al proceso</t>
  </si>
  <si>
    <t>Porcentaje (%) de cumplimiento de metas de indicadore mínimos de gestión relacionadas al proceso</t>
  </si>
  <si>
    <t>4. PORCENTAJE (%) DE CUMPLIMIENTO DE METAS DE INDICADORES MÍNIMOS DE GESTIÓN RELACIONADAS AL PROCESO</t>
  </si>
  <si>
    <t>De los 27 IMG para el año 2018 se tenia en el proceso de Planeación Global los indicadores mínimos de gestión:
1. "Porcentaje de entes territoriales asesorados en la incorporación, planificación y ejecución de acciones relacionadas con cambio climático en el marco de los instrumentos de planificación territorial", el cual se cumplió en 100% mediante la asesoría a los 19 municipios en determinates ambientales, donde se incluyó el cambio climático y la gestión de riesgo. 
2. "Porcentaje de municipios asesorados o asistidos en la inclusión del componente ambiental en los procesos de planificación y ordenamiento territorial, con énfasis en la incorporación de las determinantes ambientales para la revisión y ajuste de los POT", el cual se cumplió en 100% mediante la asesoria personalizada a cada municpio, no obstante la capacitación para la vigencia 2018 no se realizaron ajustes de POT.</t>
  </si>
  <si>
    <t>En el marco de los Indicadores Mínimos de Gestiós, en la vigencia 2019 se trabajaron los siguientes indicadores:
1. "Porcentaje de entes territoriales asesorados en la incorporación, planificación y ejecución de acciones relacionadas con cambio climático en el marco de los instrumentos de planificación territorial", con cumplimiento del 100%, lo cual se realizó mediante la capacitación a cada municipio en determinates ambientales y cambio climático, ademas de la capacitación en gestión del riesgo a los Consejos Municipales de Gestión de Riesgo mediante un curso de dos días en la ciudad de Medellín.
2. "Porcentaje de municipios asesorados o asistidos en la inclusión del componente ambiental en los procesos de planificación y ordenamiento territorial, con énfasis en la incorporación de las determinantes ambientales para la revisión y ajuste de los POT", con cumplimiento del 100%, donde no solamente se asesoró a los 19 municpios sino tambien se realizó un análisis del estado de cada POT.</t>
  </si>
  <si>
    <t>El indicador que aplica del IEDI al proceso de Planeaciòn Global es "Porcentaje de municipios con seguimiento de la concertación ambiental en sus documentos de planificación territorial", el cual se cumplió en 100% de acuerdo al reporte del MADS.</t>
  </si>
  <si>
    <t>Los IMG para la vigencia 2020 son los mismos de los años anteriores:
1. IMG 7 "Porcentaje de entes territoriales asesorados en la incorporación, planificación y ejecución de acciones relacionadas con cambio climático en el marco de los instrumentos de planificación territorial", el cumplimiento es del 100%, lo cual se realizó en el marco de la asistencia, asesoría de la formulación de los planes de desarrollo municipal y departamental. Donde no solomanete se trabajaron los temas de gestión de riesgo, cambio climático y detrrtminantes ambientales, sino lo relacionado con el accionar municipal: PGIRS, PSMV, minería, educación ambiental, entre otros.
2. IMG 24"Porcentaje de municipios asesorados o asistidos en la inclusión del componente ambiental en los procesos de planificación y ordenamiento territorial, con énfasis en la incorporación de las determinantes ambientales para la revisión y ajuste de los POT",  el cumplimiento es del 100%.</t>
  </si>
  <si>
    <t>Fuentes de Información:</t>
  </si>
  <si>
    <t>Verificar IMG 7 e IMG 24</t>
  </si>
  <si>
    <t>El indicador que aplica del IEDI al proceso de Planeaciòn Global es "Porcentaje de municipios con seguimiento de la concertación ambiental en sus documentos de planificación territorial", el cual se cumplió en 100% de acuerdo al reporte del MADS en el año 2020. Los 19 municipios concertaron el componente ambiental de los planes de desarrollo municipal - PDM,</t>
  </si>
  <si>
    <t>La corporación para el año 2020 tenía estimado por recursos propios $11.424.387.006 y mediante convenios, donaciones y acuerdos gestionó $1.477.995.785 adicionales</t>
  </si>
  <si>
    <t>La corporación para el año 2019 tenía estimado por recursos propios $12.694.184.140 y mediante convenios, donaciones y acuerdos gestionó $4.229.591.879 adicionales</t>
  </si>
  <si>
    <t>Meta del MADS para la vigencia (los ingresos gestionados son del 10% del total de ingresos propios presupuestados su resultado será del 100%)</t>
  </si>
  <si>
    <t>Se debe ajustar el indicador utilizando los mismos términos del IEDI.</t>
  </si>
  <si>
    <t>% de ingresos gestionados</t>
  </si>
  <si>
    <t>Recursos gestionados</t>
  </si>
  <si>
    <t>Recursos propios</t>
  </si>
  <si>
    <t>% de ingresos  gestionados / meta del MADS para la vigencia</t>
  </si>
  <si>
    <t>Con corte a 31-08-2021 se han iniciado procesos con los municipios pero no ha concluído ninguno se está cumpliendo con el cronograma.
Los IMG para la vigencia 2021 son los mismos de los años anteriores:
1. IMG 7 "Porcentaje de entes territoriales asesorados en la incorporación, planificación y ejecución de acciones relacionadas con cambio climático en el marco de los instrumentos de planificación territorial", el cumplimiento es del 100%, lo cual se realizó en el marco de la asistencia, asesoría de la formulación de los planes de desarrollo municipal y departamental. Donde no solomanete se trabajaron los temas de gestión de riesgo, cambio climático y detrrtminantes ambientales, sino lo relacionado con el accionar municipal: PGIRS, PSMV, minería, educación ambiental, entre otros. 8 de 19
2. IMG 24"Porcentaje de municipios asesorados o asistidos en la inclusión del componente ambiental en los procesos de planificación y ordenamiento territorial, con énfasis en la incorporación de las determinantes ambientales para la revisión y ajuste de los POT",  el cumplimiento es del 100%. 8 de 19</t>
  </si>
  <si>
    <t>Debido a que este indicador solo se evidencia con el cumplimiento de la meta se requiere ajustar a porcentaje de cumplimiento medido así; #municipios asesorados/#total de municipios, de esta forma está mas acorde con el IMG</t>
  </si>
  <si>
    <t>De esta forma se puede realizar el seguimiento trimestral</t>
  </si>
  <si>
    <t>A la subdirección han ingresado 3 solicitudes de concertación ambiental POT de los municipios Arboletes, Apartadó y San Pedro de Urabá.  Todos se encuentran suspendidos dentro de los tiempos legales de concertación.</t>
  </si>
  <si>
    <t>9.  PORCENTAJE (%) DE CUMPLIMIENTO DE METAS DEL PLAN DE ACCIÓN INSTITUCIONAL  2020-2023 POR PARTE DEL PROCESO</t>
  </si>
  <si>
    <r>
      <rPr>
        <b/>
        <u/>
        <sz val="9"/>
        <color indexed="17"/>
        <rFont val="Arial"/>
        <family val="2"/>
      </rPr>
      <t>Se mantiene la meta</t>
    </r>
    <r>
      <rPr>
        <u/>
        <sz val="9"/>
        <color indexed="17"/>
        <rFont val="Arial"/>
        <family val="2"/>
      </rPr>
      <t xml:space="preserve">
Año 2023:
</t>
    </r>
    <r>
      <rPr>
        <sz val="9"/>
        <color indexed="17"/>
        <rFont val="Arial"/>
        <family val="2"/>
      </rPr>
      <t>95% o mas</t>
    </r>
    <r>
      <rPr>
        <u/>
        <sz val="9"/>
        <color indexed="17"/>
        <rFont val="Arial"/>
        <family val="2"/>
      </rPr>
      <t xml:space="preserve">
</t>
    </r>
    <r>
      <rPr>
        <u/>
        <sz val="9"/>
        <rFont val="Arial"/>
        <family val="2"/>
      </rPr>
      <t xml:space="preserve">
Año 2022:
</t>
    </r>
    <r>
      <rPr>
        <sz val="9"/>
        <rFont val="Arial"/>
        <family val="2"/>
      </rPr>
      <t>95% o mas</t>
    </r>
    <r>
      <rPr>
        <u/>
        <sz val="9"/>
        <rFont val="Arial"/>
        <family val="2"/>
      </rPr>
      <t xml:space="preserve">
Año 2021:</t>
    </r>
    <r>
      <rPr>
        <sz val="9"/>
        <rFont val="Arial"/>
        <family val="2"/>
      </rPr>
      <t xml:space="preserve">
95% o mas
</t>
    </r>
    <r>
      <rPr>
        <u/>
        <sz val="9"/>
        <rFont val="Arial"/>
        <family val="2"/>
      </rPr>
      <t>Año 2020:</t>
    </r>
    <r>
      <rPr>
        <sz val="9"/>
        <rFont val="Arial"/>
        <family val="2"/>
      </rPr>
      <t xml:space="preserve"> 
95% o mas</t>
    </r>
  </si>
  <si>
    <t>RESULTADO</t>
  </si>
  <si>
    <t>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</si>
</sst>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2" formatCode="_-&quot;$&quot;\ * #,##0_-;\-&quot;$&quot;\ * #,##0_-;_-&quot;$&quot;\ * &quot;-&quot;_-;_-@_-"/>
    <numFmt numFmtId="43" formatCode="_-* #,##0.00_-;\-* #,##0.00_-;_-* &quot;-&quot;??_-;_-@_-"/>
    <numFmt numFmtId="164" formatCode="_(* #,##0.00_);_(* \(#,##0.00\);_(* &quot;-&quot;??_);_(@_)"/>
    <numFmt numFmtId="165" formatCode="_ [$€-2]\ * #,##0.00_ ;_ [$€-2]\ * \-#,##0.00_ ;_ [$€-2]\ * &quot;-&quot;??_ "/>
    <numFmt numFmtId="166" formatCode="0.0%"/>
    <numFmt numFmtId="167" formatCode="0.0"/>
    <numFmt numFmtId="168" formatCode="#,##0.0"/>
    <numFmt numFmtId="169" formatCode="_(* #,##0_);_(* \(#,##0\);_(* &quot;-&quot;??_);_(@_)"/>
    <numFmt numFmtId="170" formatCode="_ * #,##0.00_ ;_ * \-#,##0.00_ ;_ * &quot;-&quot;??_ ;_ @_ "/>
  </numFmts>
  <fonts count="117" x14ac:knownFonts="1">
    <font>
      <sz val="11"/>
      <color theme="1"/>
      <name val="Calibri"/>
      <family val="2"/>
      <scheme val="minor"/>
    </font>
    <font>
      <sz val="10"/>
      <name val="Arial"/>
      <family val="2"/>
    </font>
    <font>
      <b/>
      <sz val="11"/>
      <name val="Arial"/>
      <family val="2"/>
    </font>
    <font>
      <u/>
      <sz val="10"/>
      <color indexed="12"/>
      <name val="Arial"/>
      <family val="2"/>
    </font>
    <font>
      <sz val="9"/>
      <name val="Arial"/>
      <family val="2"/>
    </font>
    <font>
      <sz val="10"/>
      <color indexed="8"/>
      <name val="Arial"/>
      <family val="2"/>
    </font>
    <font>
      <sz val="11"/>
      <color theme="1"/>
      <name val="Calibri"/>
      <family val="2"/>
      <scheme val="minor"/>
    </font>
    <font>
      <sz val="10"/>
      <name val="Verdana"/>
      <family val="2"/>
    </font>
    <font>
      <sz val="12"/>
      <color theme="1"/>
      <name val="Verdana"/>
      <family val="2"/>
    </font>
    <font>
      <sz val="12"/>
      <name val="Verdana"/>
      <family val="2"/>
    </font>
    <font>
      <b/>
      <sz val="14"/>
      <color theme="1"/>
      <name val="Verdana"/>
      <family val="2"/>
    </font>
    <font>
      <sz val="11"/>
      <color theme="1"/>
      <name val="Verdana"/>
      <family val="2"/>
    </font>
    <font>
      <b/>
      <sz val="11"/>
      <name val="Verdana"/>
      <family val="2"/>
    </font>
    <font>
      <b/>
      <sz val="12"/>
      <color theme="1"/>
      <name val="Verdana"/>
      <family val="2"/>
    </font>
    <font>
      <sz val="11"/>
      <name val="Verdana"/>
      <family val="2"/>
    </font>
    <font>
      <b/>
      <sz val="24"/>
      <color theme="1"/>
      <name val="Verdana"/>
      <family val="2"/>
    </font>
    <font>
      <b/>
      <sz val="11"/>
      <color theme="1"/>
      <name val="Verdana"/>
      <family val="2"/>
    </font>
    <font>
      <b/>
      <sz val="14"/>
      <name val="Verdana"/>
      <family val="2"/>
    </font>
    <font>
      <b/>
      <sz val="12"/>
      <name val="Verdana"/>
      <family val="2"/>
    </font>
    <font>
      <sz val="10"/>
      <color theme="1"/>
      <name val="Verdana"/>
      <family val="2"/>
    </font>
    <font>
      <sz val="24"/>
      <color theme="1"/>
      <name val="Verdana"/>
      <family val="2"/>
    </font>
    <font>
      <i/>
      <sz val="11"/>
      <color theme="1"/>
      <name val="Verdana"/>
      <family val="2"/>
    </font>
    <font>
      <b/>
      <u/>
      <sz val="16"/>
      <color indexed="12"/>
      <name val="Arial"/>
      <family val="2"/>
    </font>
    <font>
      <sz val="18"/>
      <color theme="1"/>
      <name val="Verdana"/>
      <family val="2"/>
    </font>
    <font>
      <sz val="16"/>
      <color theme="1"/>
      <name val="Verdana"/>
      <family val="2"/>
    </font>
    <font>
      <sz val="14"/>
      <color theme="1"/>
      <name val="Verdana"/>
      <family val="2"/>
    </font>
    <font>
      <u/>
      <sz val="14"/>
      <color theme="1"/>
      <name val="Verdana"/>
      <family val="2"/>
    </font>
    <font>
      <b/>
      <u/>
      <sz val="14"/>
      <color theme="1"/>
      <name val="Verdana"/>
      <family val="2"/>
    </font>
    <font>
      <b/>
      <u/>
      <sz val="14"/>
      <name val="Verdana"/>
      <family val="2"/>
    </font>
    <font>
      <b/>
      <sz val="13"/>
      <name val="Verdana"/>
      <family val="2"/>
    </font>
    <font>
      <sz val="14"/>
      <name val="Verdana"/>
      <family val="2"/>
    </font>
    <font>
      <sz val="8"/>
      <color theme="1"/>
      <name val="Verdana"/>
      <family val="2"/>
    </font>
    <font>
      <sz val="9"/>
      <color theme="1"/>
      <name val="Verdana"/>
      <family val="2"/>
    </font>
    <font>
      <vertAlign val="subscript"/>
      <sz val="11"/>
      <name val="Verdana"/>
      <family val="2"/>
    </font>
    <font>
      <b/>
      <sz val="9"/>
      <name val="Arial"/>
      <family val="2"/>
    </font>
    <font>
      <sz val="16"/>
      <name val="Verdana"/>
      <family val="2"/>
    </font>
    <font>
      <b/>
      <sz val="16"/>
      <name val="Verdana"/>
      <family val="2"/>
    </font>
    <font>
      <i/>
      <sz val="14"/>
      <color theme="1"/>
      <name val="Verdana"/>
      <family val="2"/>
    </font>
    <font>
      <b/>
      <u/>
      <sz val="12"/>
      <name val="Verdana"/>
      <family val="2"/>
    </font>
    <font>
      <u/>
      <sz val="11"/>
      <name val="Verdana"/>
      <family val="2"/>
    </font>
    <font>
      <u/>
      <sz val="11"/>
      <color theme="1"/>
      <name val="Verdana"/>
      <family val="2"/>
    </font>
    <font>
      <b/>
      <sz val="16"/>
      <color theme="1"/>
      <name val="Verdana"/>
      <family val="2"/>
    </font>
    <font>
      <b/>
      <sz val="14"/>
      <name val="Arial"/>
      <family val="2"/>
    </font>
    <font>
      <i/>
      <sz val="12"/>
      <color theme="1"/>
      <name val="Verdana"/>
      <family val="2"/>
    </font>
    <font>
      <b/>
      <i/>
      <sz val="14"/>
      <color theme="1"/>
      <name val="Verdana"/>
      <family val="2"/>
    </font>
    <font>
      <sz val="12"/>
      <color rgb="FFFF0000"/>
      <name val="Verdana"/>
      <family val="2"/>
    </font>
    <font>
      <b/>
      <u/>
      <sz val="12"/>
      <color indexed="12"/>
      <name val="Arial"/>
      <family val="2"/>
    </font>
    <font>
      <sz val="14"/>
      <color rgb="FFFF0000"/>
      <name val="Verdana"/>
      <family val="2"/>
    </font>
    <font>
      <sz val="18"/>
      <name val="Verdana"/>
      <family val="2"/>
    </font>
    <font>
      <b/>
      <u/>
      <sz val="14"/>
      <color indexed="12"/>
      <name val="Arial"/>
      <family val="2"/>
    </font>
    <font>
      <b/>
      <sz val="9"/>
      <color indexed="81"/>
      <name val="Tahoma"/>
      <family val="2"/>
    </font>
    <font>
      <sz val="9"/>
      <color indexed="81"/>
      <name val="Tahoma"/>
      <family val="2"/>
    </font>
    <font>
      <b/>
      <u/>
      <sz val="11"/>
      <name val="Verdana"/>
      <family val="2"/>
    </font>
    <font>
      <b/>
      <sz val="10"/>
      <color theme="1"/>
      <name val="Verdana"/>
      <family val="2"/>
    </font>
    <font>
      <i/>
      <sz val="11"/>
      <name val="Verdana"/>
      <family val="2"/>
    </font>
    <font>
      <u/>
      <sz val="12"/>
      <color indexed="12"/>
      <name val="Verdana"/>
      <family val="2"/>
    </font>
    <font>
      <sz val="9"/>
      <color theme="1"/>
      <name val="Calibri"/>
      <family val="2"/>
      <scheme val="minor"/>
    </font>
    <font>
      <b/>
      <sz val="18"/>
      <color theme="1"/>
      <name val="Verdana"/>
      <family val="2"/>
    </font>
    <font>
      <b/>
      <sz val="7"/>
      <color rgb="FF000000"/>
      <name val="Calibri"/>
      <family val="2"/>
      <scheme val="minor"/>
    </font>
    <font>
      <b/>
      <sz val="9"/>
      <color theme="1"/>
      <name val="Verdana"/>
      <family val="2"/>
    </font>
    <font>
      <b/>
      <sz val="9"/>
      <color rgb="FF000000"/>
      <name val="Verdana"/>
      <family val="2"/>
    </font>
    <font>
      <sz val="9"/>
      <color rgb="FF000000"/>
      <name val="Verdana"/>
      <family val="2"/>
    </font>
    <font>
      <sz val="9"/>
      <color rgb="FF006100"/>
      <name val="Verdana"/>
      <family val="2"/>
    </font>
    <font>
      <b/>
      <sz val="9"/>
      <name val="Verdana"/>
      <family val="2"/>
    </font>
    <font>
      <b/>
      <sz val="9"/>
      <color theme="1"/>
      <name val="Calibri"/>
      <family val="2"/>
      <scheme val="minor"/>
    </font>
    <font>
      <b/>
      <sz val="9"/>
      <color rgb="FF000000"/>
      <name val="Calibri"/>
      <family val="2"/>
      <scheme val="minor"/>
    </font>
    <font>
      <sz val="9"/>
      <color rgb="FF000000"/>
      <name val="Calibri"/>
      <family val="2"/>
      <scheme val="minor"/>
    </font>
    <font>
      <sz val="9"/>
      <color rgb="FF006100"/>
      <name val="Calibri"/>
      <family val="2"/>
      <scheme val="minor"/>
    </font>
    <font>
      <b/>
      <u/>
      <sz val="10"/>
      <color rgb="FFFF0000"/>
      <name val="Arial"/>
      <family val="2"/>
    </font>
    <font>
      <sz val="11"/>
      <color rgb="FFFF0000"/>
      <name val="Verdana"/>
      <family val="2"/>
    </font>
    <font>
      <b/>
      <sz val="11"/>
      <color rgb="FFFF0000"/>
      <name val="Verdana"/>
      <family val="2"/>
    </font>
    <font>
      <b/>
      <sz val="22"/>
      <color theme="1"/>
      <name val="Verdana"/>
      <family val="2"/>
    </font>
    <font>
      <b/>
      <sz val="11"/>
      <color theme="9" tint="-0.249977111117893"/>
      <name val="Verdana"/>
      <family val="2"/>
    </font>
    <font>
      <sz val="11"/>
      <color theme="9" tint="-0.249977111117893"/>
      <name val="Verdana"/>
      <family val="2"/>
    </font>
    <font>
      <sz val="12"/>
      <color theme="9" tint="-0.249977111117893"/>
      <name val="Verdana"/>
      <family val="2"/>
    </font>
    <font>
      <sz val="10"/>
      <color indexed="8"/>
      <name val="Verdana"/>
      <family val="2"/>
    </font>
    <font>
      <sz val="8"/>
      <color indexed="8"/>
      <name val="Verdana"/>
      <family val="2"/>
    </font>
    <font>
      <sz val="9"/>
      <color indexed="10"/>
      <name val="Verdana"/>
      <family val="2"/>
    </font>
    <font>
      <sz val="14"/>
      <color indexed="10"/>
      <name val="Verdana"/>
      <family val="2"/>
    </font>
    <font>
      <b/>
      <sz val="9"/>
      <color indexed="8"/>
      <name val="Calibri"/>
      <family val="2"/>
    </font>
    <font>
      <sz val="14"/>
      <color indexed="8"/>
      <name val="Verdana"/>
      <family val="2"/>
    </font>
    <font>
      <sz val="11"/>
      <color indexed="8"/>
      <name val="Calibri"/>
      <family val="2"/>
    </font>
    <font>
      <u/>
      <sz val="11"/>
      <color theme="10"/>
      <name val="Calibri"/>
      <family val="2"/>
    </font>
    <font>
      <sz val="11"/>
      <color indexed="8"/>
      <name val="Calibri"/>
      <family val="2"/>
    </font>
    <font>
      <sz val="8"/>
      <name val="Calibri"/>
      <family val="2"/>
      <scheme val="minor"/>
    </font>
    <font>
      <b/>
      <sz val="12"/>
      <color theme="1"/>
      <name val="Arial"/>
      <family val="2"/>
    </font>
    <font>
      <sz val="10"/>
      <color theme="1"/>
      <name val="Arial"/>
      <family val="2"/>
    </font>
    <font>
      <sz val="12"/>
      <color theme="1"/>
      <name val="Arial"/>
      <family val="2"/>
    </font>
    <font>
      <sz val="11"/>
      <color theme="1"/>
      <name val="Arial"/>
      <family val="2"/>
    </font>
    <font>
      <sz val="11"/>
      <name val="Arial"/>
      <family val="2"/>
    </font>
    <font>
      <b/>
      <sz val="11"/>
      <color theme="1"/>
      <name val="Arial"/>
      <family val="2"/>
    </font>
    <font>
      <b/>
      <sz val="14"/>
      <color theme="0"/>
      <name val="Verdana"/>
      <family val="2"/>
    </font>
    <font>
      <b/>
      <sz val="12"/>
      <color theme="0"/>
      <name val="Arial"/>
      <family val="2"/>
    </font>
    <font>
      <sz val="10"/>
      <color theme="0"/>
      <name val="Arial"/>
      <family val="2"/>
    </font>
    <font>
      <sz val="12"/>
      <color theme="0"/>
      <name val="Arial"/>
      <family val="2"/>
    </font>
    <font>
      <b/>
      <sz val="24"/>
      <color theme="1"/>
      <name val="Arial"/>
      <family val="2"/>
    </font>
    <font>
      <b/>
      <sz val="14"/>
      <color theme="1"/>
      <name val="Arial"/>
      <family val="2"/>
    </font>
    <font>
      <b/>
      <sz val="10"/>
      <name val="Arial"/>
      <family val="2"/>
    </font>
    <font>
      <sz val="14"/>
      <name val="Arial"/>
      <family val="2"/>
    </font>
    <font>
      <b/>
      <sz val="16"/>
      <color theme="1"/>
      <name val="Arial"/>
      <family val="2"/>
    </font>
    <font>
      <sz val="12"/>
      <name val="Arial"/>
      <family val="2"/>
    </font>
    <font>
      <b/>
      <sz val="18"/>
      <name val="Arial"/>
      <family val="2"/>
    </font>
    <font>
      <b/>
      <sz val="10"/>
      <color theme="0"/>
      <name val="Arial"/>
      <family val="2"/>
    </font>
    <font>
      <b/>
      <u/>
      <sz val="14"/>
      <color rgb="FFFFFF00"/>
      <name val="Arial"/>
      <family val="2"/>
    </font>
    <font>
      <b/>
      <u/>
      <sz val="12"/>
      <color rgb="FF7030A0"/>
      <name val="Arial"/>
      <family val="2"/>
    </font>
    <font>
      <b/>
      <sz val="14"/>
      <color theme="0"/>
      <name val="Arial"/>
      <family val="2"/>
    </font>
    <font>
      <b/>
      <u/>
      <sz val="10"/>
      <color indexed="12"/>
      <name val="Arial"/>
      <family val="2"/>
    </font>
    <font>
      <sz val="9"/>
      <color rgb="FFFF0000"/>
      <name val="Arial"/>
      <family val="2"/>
    </font>
    <font>
      <sz val="9"/>
      <color rgb="FF00B050"/>
      <name val="Arial"/>
      <family val="2"/>
    </font>
    <font>
      <b/>
      <u/>
      <sz val="9"/>
      <color indexed="17"/>
      <name val="Arial"/>
      <family val="2"/>
    </font>
    <font>
      <u/>
      <sz val="9"/>
      <color indexed="17"/>
      <name val="Arial"/>
      <family val="2"/>
    </font>
    <font>
      <u/>
      <sz val="9"/>
      <name val="Arial"/>
      <family val="2"/>
    </font>
    <font>
      <sz val="9"/>
      <color indexed="17"/>
      <name val="Arial"/>
      <family val="2"/>
    </font>
    <font>
      <sz val="9"/>
      <color indexed="10"/>
      <name val="Arial"/>
      <family val="2"/>
    </font>
    <font>
      <sz val="9"/>
      <color rgb="FF92D050"/>
      <name val="Arial"/>
      <family val="2"/>
    </font>
    <font>
      <b/>
      <sz val="18"/>
      <color theme="1"/>
      <name val="Arial"/>
      <family val="2"/>
    </font>
    <font>
      <sz val="18"/>
      <color theme="1"/>
      <name val="Arial"/>
      <family val="2"/>
    </font>
  </fonts>
  <fills count="29">
    <fill>
      <patternFill patternType="none"/>
    </fill>
    <fill>
      <patternFill patternType="gray125"/>
    </fill>
    <fill>
      <patternFill patternType="solid">
        <fgColor indexed="41"/>
      </patternFill>
    </fill>
    <fill>
      <patternFill patternType="solid">
        <fgColor indexed="9"/>
        <bgColor indexed="64"/>
      </patternFill>
    </fill>
    <fill>
      <patternFill patternType="solid">
        <fgColor theme="0"/>
        <bgColor indexed="64"/>
      </patternFill>
    </fill>
    <fill>
      <patternFill patternType="solid">
        <fgColor theme="6" tint="0.39997558519241921"/>
        <bgColor indexed="64"/>
      </patternFill>
    </fill>
    <fill>
      <patternFill patternType="solid">
        <fgColor theme="9" tint="0.39997558519241921"/>
        <bgColor indexed="64"/>
      </patternFill>
    </fill>
    <fill>
      <patternFill patternType="solid">
        <fgColor rgb="FF00B050"/>
        <bgColor indexed="64"/>
      </patternFill>
    </fill>
    <fill>
      <patternFill patternType="solid">
        <fgColor theme="3" tint="0.79998168889431442"/>
        <bgColor indexed="64"/>
      </patternFill>
    </fill>
    <fill>
      <patternFill patternType="solid">
        <fgColor rgb="FFFFFF0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rgb="FF009900"/>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rgb="FF66FF99"/>
        <bgColor indexed="64"/>
      </patternFill>
    </fill>
    <fill>
      <patternFill patternType="solid">
        <fgColor rgb="FFFFC000"/>
        <bgColor indexed="64"/>
      </patternFill>
    </fill>
    <fill>
      <patternFill patternType="solid">
        <fgColor rgb="FF92D050"/>
        <bgColor indexed="64"/>
      </patternFill>
    </fill>
    <fill>
      <patternFill patternType="solid">
        <fgColor theme="9" tint="0.79998168889431442"/>
        <bgColor indexed="64"/>
      </patternFill>
    </fill>
    <fill>
      <patternFill patternType="solid">
        <fgColor theme="3" tint="-0.249977111117893"/>
        <bgColor indexed="64"/>
      </patternFill>
    </fill>
    <fill>
      <patternFill patternType="solid">
        <fgColor theme="9" tint="-0.499984740745262"/>
        <bgColor indexed="64"/>
      </patternFill>
    </fill>
    <fill>
      <patternFill patternType="solid">
        <fgColor rgb="FF006600"/>
        <bgColor indexed="64"/>
      </patternFill>
    </fill>
    <fill>
      <patternFill patternType="solid">
        <fgColor rgb="FF002060"/>
        <bgColor indexed="64"/>
      </patternFill>
    </fill>
    <fill>
      <patternFill patternType="solid">
        <fgColor theme="5" tint="-0.499984740745262"/>
        <bgColor indexed="64"/>
      </patternFill>
    </fill>
    <fill>
      <patternFill patternType="solid">
        <fgColor rgb="FF008000"/>
        <bgColor indexed="64"/>
      </patternFill>
    </fill>
  </fills>
  <borders count="56">
    <border>
      <left/>
      <right/>
      <top/>
      <bottom/>
      <diagonal/>
    </border>
    <border>
      <left/>
      <right/>
      <top style="thin">
        <color indexed="64"/>
      </top>
      <bottom style="thin">
        <color indexed="64"/>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right/>
      <top/>
      <bottom style="hair">
        <color indexed="64"/>
      </bottom>
      <diagonal/>
    </border>
    <border>
      <left style="hair">
        <color indexed="64"/>
      </left>
      <right style="hair">
        <color rgb="FF000000"/>
      </right>
      <top style="hair">
        <color indexed="64"/>
      </top>
      <bottom/>
      <diagonal/>
    </border>
    <border>
      <left style="hair">
        <color rgb="FF000000"/>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style="hair">
        <color indexed="64"/>
      </left>
      <right style="hair">
        <color rgb="FF000000"/>
      </right>
      <top/>
      <bottom/>
      <diagonal/>
    </border>
    <border>
      <left style="hair">
        <color indexed="64"/>
      </left>
      <right style="hair">
        <color rgb="FF000000"/>
      </right>
      <top/>
      <bottom style="hair">
        <color indexed="64"/>
      </bottom>
      <diagonal/>
    </border>
    <border>
      <left style="hair">
        <color rgb="FF000000"/>
      </left>
      <right/>
      <top style="hair">
        <color rgb="FF000000"/>
      </top>
      <bottom/>
      <diagonal/>
    </border>
    <border>
      <left style="thin">
        <color indexed="64"/>
      </left>
      <right/>
      <top/>
      <bottom/>
      <diagonal/>
    </border>
    <border>
      <left/>
      <right style="hair">
        <color indexed="64"/>
      </right>
      <top/>
      <bottom/>
      <diagonal/>
    </border>
    <border>
      <left style="hair">
        <color rgb="FF000000"/>
      </left>
      <right style="hair">
        <color rgb="FF000000"/>
      </right>
      <top style="hair">
        <color rgb="FF000000"/>
      </top>
      <bottom style="hair">
        <color indexed="64"/>
      </bottom>
      <diagonal/>
    </border>
    <border>
      <left style="hair">
        <color rgb="FF000000"/>
      </left>
      <right/>
      <top style="hair">
        <color rgb="FF000000"/>
      </top>
      <bottom style="hair">
        <color indexed="64"/>
      </bottom>
      <diagonal/>
    </border>
    <border>
      <left style="hair">
        <color rgb="FF000000"/>
      </left>
      <right style="hair">
        <color rgb="FF000000"/>
      </right>
      <top/>
      <bottom style="hair">
        <color rgb="FF000000"/>
      </bottom>
      <diagonal/>
    </border>
    <border>
      <left style="hair">
        <color rgb="FF000000"/>
      </left>
      <right/>
      <top/>
      <bottom style="hair">
        <color rgb="FF000000"/>
      </bottom>
      <diagonal/>
    </border>
    <border>
      <left style="hair">
        <color rgb="FF000000"/>
      </left>
      <right style="hair">
        <color indexed="64"/>
      </right>
      <top style="hair">
        <color rgb="FF000000"/>
      </top>
      <bottom style="hair">
        <color rgb="FF000000"/>
      </bottom>
      <diagonal/>
    </border>
    <border>
      <left style="hair">
        <color rgb="FF000000"/>
      </left>
      <right style="hair">
        <color rgb="FF000000"/>
      </right>
      <top style="hair">
        <color rgb="FF000000"/>
      </top>
      <bottom/>
      <diagonal/>
    </border>
    <border>
      <left/>
      <right/>
      <top style="hair">
        <color indexed="64"/>
      </top>
      <bottom/>
      <diagonal/>
    </border>
    <border>
      <left style="hair">
        <color indexed="64"/>
      </left>
      <right/>
      <top/>
      <bottom/>
      <diagonal/>
    </border>
    <border>
      <left style="hair">
        <color indexed="64"/>
      </left>
      <right/>
      <top/>
      <bottom style="hair">
        <color indexed="64"/>
      </bottom>
      <diagonal/>
    </border>
    <border>
      <left/>
      <right style="hair">
        <color indexed="64"/>
      </right>
      <top/>
      <bottom style="hair">
        <color indexed="64"/>
      </bottom>
      <diagonal/>
    </border>
    <border>
      <left/>
      <right/>
      <top style="hair">
        <color rgb="FF000000"/>
      </top>
      <bottom style="hair">
        <color rgb="FF000000"/>
      </bottom>
      <diagonal/>
    </border>
    <border>
      <left/>
      <right/>
      <top style="hair">
        <color rgb="FF000000"/>
      </top>
      <bottom/>
      <diagonal/>
    </border>
    <border>
      <left/>
      <right/>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2">
    <xf numFmtId="0" fontId="0" fillId="0" borderId="0"/>
    <xf numFmtId="0" fontId="4" fillId="0" borderId="1">
      <alignment vertical="center" wrapText="1"/>
      <protection locked="0"/>
    </xf>
    <xf numFmtId="0" fontId="1" fillId="0" borderId="0" applyNumberFormat="0" applyFont="0" applyFill="0" applyBorder="0" applyAlignment="0">
      <protection locked="0"/>
    </xf>
    <xf numFmtId="0" fontId="1" fillId="0" borderId="0" applyNumberFormat="0" applyFont="0" applyFill="0" applyBorder="0" applyAlignment="0">
      <protection locked="0"/>
    </xf>
    <xf numFmtId="0" fontId="3" fillId="0" borderId="0" applyNumberFormat="0" applyFill="0" applyBorder="0" applyAlignment="0" applyProtection="0">
      <alignment vertical="top"/>
      <protection locked="0"/>
    </xf>
    <xf numFmtId="164"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4" fontId="5" fillId="2" borderId="2" applyNumberFormat="0" applyProtection="0">
      <alignment horizontal="right" vertical="center"/>
    </xf>
    <xf numFmtId="0" fontId="2" fillId="0" borderId="3">
      <alignment horizontal="center" vertical="center" wrapText="1"/>
    </xf>
    <xf numFmtId="165"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9" fontId="6" fillId="0" borderId="0" applyFont="0" applyFill="0" applyBorder="0" applyAlignment="0" applyProtection="0"/>
    <xf numFmtId="0" fontId="81" fillId="0" borderId="0" applyNumberFormat="0" applyFill="0" applyBorder="0" applyProtection="0"/>
    <xf numFmtId="0" fontId="82" fillId="0" borderId="0" applyNumberFormat="0" applyFill="0" applyBorder="0" applyAlignment="0" applyProtection="0"/>
    <xf numFmtId="43" fontId="83" fillId="0" borderId="0" applyFont="0" applyFill="0" applyBorder="0" applyAlignment="0" applyProtection="0"/>
    <xf numFmtId="9" fontId="83" fillId="0" borderId="0" applyFont="0" applyFill="0" applyBorder="0" applyAlignment="0" applyProtection="0"/>
    <xf numFmtId="0" fontId="6" fillId="0" borderId="0"/>
    <xf numFmtId="9" fontId="6" fillId="0" borderId="0" applyFont="0" applyFill="0" applyBorder="0" applyAlignment="0" applyProtection="0"/>
    <xf numFmtId="170" fontId="1" fillId="0" borderId="0" applyFont="0" applyFill="0" applyBorder="0" applyAlignment="0" applyProtection="0"/>
    <xf numFmtId="43" fontId="6" fillId="0" borderId="0" applyFont="0" applyFill="0" applyBorder="0" applyAlignment="0" applyProtection="0"/>
    <xf numFmtId="42" fontId="6" fillId="0" borderId="0" applyFont="0" applyFill="0" applyBorder="0" applyAlignment="0" applyProtection="0"/>
  </cellStyleXfs>
  <cellXfs count="1412">
    <xf numFmtId="0" fontId="0" fillId="0" borderId="0" xfId="0"/>
    <xf numFmtId="0" fontId="8" fillId="4" borderId="0" xfId="0" applyFont="1" applyFill="1"/>
    <xf numFmtId="0" fontId="11" fillId="4" borderId="0" xfId="0" applyFont="1" applyFill="1"/>
    <xf numFmtId="0" fontId="11" fillId="4" borderId="0" xfId="0" applyFont="1" applyFill="1" applyAlignment="1">
      <alignment vertical="top" wrapText="1"/>
    </xf>
    <xf numFmtId="0" fontId="11" fillId="4" borderId="0" xfId="0" applyFont="1" applyFill="1" applyAlignment="1">
      <alignment horizontal="center" vertical="center" wrapText="1"/>
    </xf>
    <xf numFmtId="0" fontId="16" fillId="4" borderId="0" xfId="0" applyFont="1" applyFill="1" applyBorder="1" applyAlignment="1">
      <alignment vertical="top" wrapText="1"/>
    </xf>
    <xf numFmtId="0" fontId="9" fillId="4" borderId="0" xfId="0" applyFont="1" applyFill="1" applyAlignment="1">
      <alignment horizontal="center" vertical="center"/>
    </xf>
    <xf numFmtId="0" fontId="9" fillId="4" borderId="0" xfId="0" applyFont="1" applyFill="1" applyAlignment="1">
      <alignment horizontal="center" vertical="center" wrapText="1"/>
    </xf>
    <xf numFmtId="0" fontId="14" fillId="4" borderId="0" xfId="0" applyFont="1" applyFill="1" applyAlignment="1">
      <alignment horizontal="center" vertical="center"/>
    </xf>
    <xf numFmtId="0" fontId="15" fillId="4" borderId="0" xfId="0" applyFont="1" applyFill="1" applyBorder="1" applyAlignment="1">
      <alignment vertical="center"/>
    </xf>
    <xf numFmtId="0" fontId="8" fillId="9" borderId="7" xfId="0" applyFont="1" applyFill="1" applyBorder="1" applyAlignment="1">
      <alignment horizontal="center" vertical="center" wrapText="1"/>
    </xf>
    <xf numFmtId="0" fontId="8" fillId="7" borderId="7" xfId="0" applyFont="1" applyFill="1" applyBorder="1" applyAlignment="1">
      <alignment horizontal="center" vertical="center" wrapText="1"/>
    </xf>
    <xf numFmtId="0" fontId="8" fillId="6" borderId="7" xfId="0" applyFont="1" applyFill="1" applyBorder="1" applyAlignment="1">
      <alignment horizontal="center" vertical="center" wrapText="1"/>
    </xf>
    <xf numFmtId="0" fontId="19" fillId="6" borderId="7" xfId="0" applyFont="1" applyFill="1" applyBorder="1" applyAlignment="1">
      <alignment horizontal="justify" vertical="center" wrapText="1"/>
    </xf>
    <xf numFmtId="0" fontId="8" fillId="5" borderId="7" xfId="0" applyFont="1" applyFill="1" applyBorder="1" applyAlignment="1">
      <alignment horizontal="center" vertical="center" wrapText="1"/>
    </xf>
    <xf numFmtId="0" fontId="19" fillId="5" borderId="7" xfId="0" applyFont="1" applyFill="1" applyBorder="1" applyAlignment="1">
      <alignment horizontal="justify" vertical="center" wrapText="1"/>
    </xf>
    <xf numFmtId="0" fontId="8" fillId="4" borderId="16" xfId="0" applyFont="1" applyFill="1" applyBorder="1" applyAlignment="1">
      <alignment vertical="center"/>
    </xf>
    <xf numFmtId="0" fontId="20" fillId="4" borderId="0" xfId="0" applyFont="1" applyFill="1" applyBorder="1" applyAlignment="1">
      <alignment vertical="center"/>
    </xf>
    <xf numFmtId="0" fontId="19" fillId="4" borderId="16" xfId="0" applyFont="1" applyFill="1" applyBorder="1" applyAlignment="1">
      <alignment vertical="center"/>
    </xf>
    <xf numFmtId="0" fontId="11" fillId="4" borderId="7" xfId="0" applyFont="1" applyFill="1" applyBorder="1" applyAlignment="1">
      <alignment horizontal="center" vertical="top" wrapText="1"/>
    </xf>
    <xf numFmtId="0" fontId="13" fillId="6" borderId="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14" fillId="0" borderId="18" xfId="0" applyFont="1" applyBorder="1" applyAlignment="1">
      <alignment horizontal="justify" vertical="top" wrapText="1"/>
    </xf>
    <xf numFmtId="0" fontId="14" fillId="7" borderId="19" xfId="0" applyFont="1" applyFill="1" applyBorder="1" applyAlignment="1">
      <alignment horizontal="center" vertical="top" wrapText="1"/>
    </xf>
    <xf numFmtId="0" fontId="14" fillId="9" borderId="19" xfId="0" applyFont="1" applyFill="1" applyBorder="1" applyAlignment="1">
      <alignment horizontal="center" vertical="top" wrapText="1"/>
    </xf>
    <xf numFmtId="0" fontId="14" fillId="10" borderId="22" xfId="0" applyFont="1" applyFill="1" applyBorder="1" applyAlignment="1">
      <alignment horizontal="center" vertical="top" wrapText="1"/>
    </xf>
    <xf numFmtId="0" fontId="10" fillId="4" borderId="0" xfId="0" applyFont="1" applyFill="1" applyBorder="1" applyAlignment="1">
      <alignment vertical="top" wrapText="1"/>
    </xf>
    <xf numFmtId="9" fontId="23" fillId="4" borderId="7" xfId="0" applyNumberFormat="1" applyFont="1" applyFill="1" applyBorder="1" applyAlignment="1">
      <alignment horizontal="center" vertical="center"/>
    </xf>
    <xf numFmtId="0" fontId="11" fillId="4" borderId="0" xfId="0" applyFont="1" applyFill="1" applyBorder="1"/>
    <xf numFmtId="0" fontId="16" fillId="0" borderId="0" xfId="0" applyFont="1" applyFill="1" applyBorder="1"/>
    <xf numFmtId="9" fontId="8" fillId="0" borderId="0" xfId="22" applyFont="1" applyFill="1" applyBorder="1" applyAlignment="1">
      <alignment horizontal="center"/>
    </xf>
    <xf numFmtId="0" fontId="23" fillId="4" borderId="7" xfId="0" applyFont="1" applyFill="1" applyBorder="1" applyAlignment="1">
      <alignment horizontal="center"/>
    </xf>
    <xf numFmtId="9" fontId="23" fillId="4" borderId="7" xfId="0" applyNumberFormat="1" applyFont="1" applyFill="1" applyBorder="1" applyAlignment="1">
      <alignment horizontal="center"/>
    </xf>
    <xf numFmtId="9" fontId="25" fillId="4" borderId="7" xfId="22" applyFont="1" applyFill="1" applyBorder="1" applyAlignment="1">
      <alignment horizontal="center" vertical="top" wrapText="1"/>
    </xf>
    <xf numFmtId="0" fontId="10" fillId="4" borderId="7" xfId="0" applyFont="1" applyFill="1" applyBorder="1" applyAlignment="1">
      <alignment horizontal="left" vertical="top" wrapText="1"/>
    </xf>
    <xf numFmtId="0" fontId="28" fillId="0" borderId="7" xfId="8" applyFont="1" applyFill="1" applyBorder="1" applyAlignment="1">
      <alignment horizontal="center" vertical="top" wrapText="1"/>
    </xf>
    <xf numFmtId="0" fontId="16" fillId="4" borderId="0" xfId="0" applyFont="1" applyFill="1" applyBorder="1" applyAlignment="1">
      <alignment horizontal="center" vertical="center" wrapText="1"/>
    </xf>
    <xf numFmtId="0" fontId="19" fillId="4" borderId="0" xfId="0" applyFont="1" applyFill="1" applyBorder="1" applyAlignment="1">
      <alignment horizontal="center" wrapText="1"/>
    </xf>
    <xf numFmtId="0" fontId="11" fillId="4" borderId="0" xfId="0" applyFont="1" applyFill="1" applyBorder="1" applyAlignment="1">
      <alignment horizontal="center"/>
    </xf>
    <xf numFmtId="0" fontId="23" fillId="4" borderId="7" xfId="0" applyFont="1" applyFill="1" applyBorder="1" applyAlignment="1">
      <alignment horizontal="center" vertical="center"/>
    </xf>
    <xf numFmtId="0" fontId="25" fillId="4" borderId="7" xfId="0" applyFont="1" applyFill="1" applyBorder="1" applyAlignment="1">
      <alignment vertical="top" wrapText="1"/>
    </xf>
    <xf numFmtId="0" fontId="26" fillId="4" borderId="7" xfId="0" applyFont="1" applyFill="1" applyBorder="1" applyAlignment="1">
      <alignment vertical="top" wrapText="1"/>
    </xf>
    <xf numFmtId="0" fontId="8" fillId="10" borderId="11" xfId="0" applyFont="1" applyFill="1" applyBorder="1" applyAlignment="1">
      <alignment horizontal="center" vertical="center" wrapText="1"/>
    </xf>
    <xf numFmtId="0" fontId="30" fillId="0" borderId="7" xfId="8" applyFont="1" applyFill="1" applyBorder="1" applyAlignment="1">
      <alignment horizontal="center" vertical="center" wrapText="1"/>
    </xf>
    <xf numFmtId="9" fontId="30" fillId="0" borderId="7" xfId="0" applyNumberFormat="1" applyFont="1" applyFill="1" applyBorder="1" applyAlignment="1">
      <alignment horizontal="center" vertical="center" wrapText="1"/>
    </xf>
    <xf numFmtId="0" fontId="30" fillId="0" borderId="7" xfId="8" applyFont="1" applyFill="1" applyBorder="1" applyAlignment="1">
      <alignment horizontal="center" vertical="top" wrapText="1"/>
    </xf>
    <xf numFmtId="0" fontId="16" fillId="4" borderId="7" xfId="0" applyFont="1" applyFill="1" applyBorder="1" applyAlignment="1">
      <alignment horizontal="center" vertical="center" wrapText="1"/>
    </xf>
    <xf numFmtId="0" fontId="8" fillId="6" borderId="11" xfId="0" applyFont="1" applyFill="1" applyBorder="1" applyAlignment="1">
      <alignment horizontal="center" vertical="center" wrapText="1"/>
    </xf>
    <xf numFmtId="0" fontId="19" fillId="6" borderId="11" xfId="0" applyFont="1" applyFill="1" applyBorder="1" applyAlignment="1">
      <alignment horizontal="justify" vertical="center" wrapText="1"/>
    </xf>
    <xf numFmtId="0" fontId="14" fillId="4" borderId="18" xfId="0" applyFont="1" applyFill="1" applyBorder="1" applyAlignment="1">
      <alignment horizontal="justify" vertical="top" wrapText="1"/>
    </xf>
    <xf numFmtId="0" fontId="14" fillId="0" borderId="25" xfId="0" applyFont="1" applyBorder="1" applyAlignment="1">
      <alignment horizontal="justify" vertical="top" wrapText="1"/>
    </xf>
    <xf numFmtId="9" fontId="14" fillId="7" borderId="28" xfId="0" applyNumberFormat="1" applyFont="1" applyFill="1" applyBorder="1" applyAlignment="1">
      <alignment horizontal="center" vertical="top" wrapText="1"/>
    </xf>
    <xf numFmtId="0" fontId="30" fillId="4" borderId="7" xfId="8" applyFont="1" applyFill="1" applyBorder="1" applyAlignment="1">
      <alignment horizontal="center" vertical="center" wrapText="1"/>
    </xf>
    <xf numFmtId="0" fontId="16" fillId="6" borderId="7" xfId="0" applyFont="1" applyFill="1" applyBorder="1" applyAlignment="1">
      <alignment horizontal="center" vertical="center" wrapText="1"/>
    </xf>
    <xf numFmtId="0" fontId="14" fillId="0" borderId="18" xfId="0" applyFont="1" applyBorder="1" applyAlignment="1">
      <alignment horizontal="center" vertical="top" wrapText="1"/>
    </xf>
    <xf numFmtId="0" fontId="14" fillId="9" borderId="29" xfId="0" applyFont="1" applyFill="1" applyBorder="1" applyAlignment="1">
      <alignment horizontal="center" vertical="top" wrapText="1"/>
    </xf>
    <xf numFmtId="0" fontId="14" fillId="10" borderId="29" xfId="0" applyFont="1" applyFill="1" applyBorder="1" applyAlignment="1">
      <alignment horizontal="center" vertical="top" wrapText="1"/>
    </xf>
    <xf numFmtId="0" fontId="14" fillId="7" borderId="29" xfId="0" applyFont="1" applyFill="1" applyBorder="1" applyAlignment="1">
      <alignment horizontal="center" vertical="top" wrapText="1"/>
    </xf>
    <xf numFmtId="9" fontId="14" fillId="7" borderId="19" xfId="0" applyNumberFormat="1" applyFont="1" applyFill="1" applyBorder="1" applyAlignment="1">
      <alignment horizontal="center" vertical="top" wrapText="1"/>
    </xf>
    <xf numFmtId="0" fontId="17" fillId="6" borderId="7" xfId="8" applyFont="1" applyFill="1" applyBorder="1" applyAlignment="1">
      <alignment horizontal="center" vertical="top" wrapText="1"/>
    </xf>
    <xf numFmtId="9" fontId="30" fillId="0" borderId="7" xfId="15" applyFont="1" applyFill="1" applyBorder="1" applyAlignment="1">
      <alignment horizontal="center" vertical="top" wrapText="1"/>
    </xf>
    <xf numFmtId="0" fontId="10" fillId="4" borderId="7" xfId="0" applyFont="1" applyFill="1" applyBorder="1" applyAlignment="1">
      <alignment horizontal="center" vertical="top" wrapText="1"/>
    </xf>
    <xf numFmtId="166" fontId="30" fillId="0" borderId="7" xfId="17" applyNumberFormat="1" applyFont="1" applyFill="1" applyBorder="1" applyAlignment="1">
      <alignment horizontal="center" vertical="top" wrapText="1"/>
    </xf>
    <xf numFmtId="0" fontId="10" fillId="6" borderId="0" xfId="0" applyFont="1" applyFill="1" applyBorder="1" applyAlignment="1">
      <alignment horizontal="center" vertical="center"/>
    </xf>
    <xf numFmtId="0" fontId="13" fillId="6" borderId="0" xfId="0" applyFont="1" applyFill="1" applyBorder="1" applyAlignment="1">
      <alignment horizontal="center" vertical="center" wrapText="1"/>
    </xf>
    <xf numFmtId="0" fontId="14" fillId="0" borderId="18" xfId="0" applyFont="1" applyFill="1" applyBorder="1" applyAlignment="1">
      <alignment horizontal="justify" vertical="top" wrapText="1"/>
    </xf>
    <xf numFmtId="0" fontId="11" fillId="4" borderId="0" xfId="0" applyFont="1" applyFill="1" applyBorder="1" applyAlignment="1">
      <alignment horizontal="center" vertical="top" wrapText="1"/>
    </xf>
    <xf numFmtId="0" fontId="14" fillId="0" borderId="27" xfId="0" applyFont="1" applyFill="1" applyBorder="1" applyAlignment="1">
      <alignment horizontal="justify" vertical="top" wrapText="1"/>
    </xf>
    <xf numFmtId="0" fontId="14" fillId="0" borderId="30" xfId="0" applyFont="1" applyFill="1" applyBorder="1" applyAlignment="1">
      <alignment horizontal="justify" vertical="top" wrapText="1"/>
    </xf>
    <xf numFmtId="0" fontId="14" fillId="4" borderId="30" xfId="0" applyFont="1" applyFill="1" applyBorder="1" applyAlignment="1">
      <alignment horizontal="justify" vertical="top" wrapText="1"/>
    </xf>
    <xf numFmtId="0" fontId="14" fillId="0" borderId="30" xfId="0" applyFont="1" applyBorder="1" applyAlignment="1">
      <alignment horizontal="justify" vertical="top" wrapText="1"/>
    </xf>
    <xf numFmtId="0" fontId="14" fillId="7" borderId="28" xfId="0" applyFont="1" applyFill="1" applyBorder="1" applyAlignment="1">
      <alignment horizontal="center" vertical="top" wrapText="1"/>
    </xf>
    <xf numFmtId="0" fontId="14" fillId="7" borderId="18" xfId="0" applyFont="1" applyFill="1" applyBorder="1" applyAlignment="1">
      <alignment horizontal="center" vertical="top" wrapText="1"/>
    </xf>
    <xf numFmtId="0" fontId="14" fillId="9" borderId="18" xfId="0" applyFont="1" applyFill="1" applyBorder="1" applyAlignment="1">
      <alignment horizontal="center" vertical="top" wrapText="1"/>
    </xf>
    <xf numFmtId="0" fontId="14" fillId="10" borderId="18" xfId="0" applyFont="1" applyFill="1" applyBorder="1" applyAlignment="1">
      <alignment horizontal="center" vertical="top" wrapText="1"/>
    </xf>
    <xf numFmtId="3" fontId="35" fillId="0" borderId="7" xfId="8" applyNumberFormat="1" applyFont="1" applyFill="1" applyBorder="1" applyAlignment="1">
      <alignment horizontal="center" vertical="center"/>
    </xf>
    <xf numFmtId="9" fontId="35" fillId="0" borderId="7" xfId="22" applyFont="1" applyFill="1" applyBorder="1" applyAlignment="1">
      <alignment horizontal="center" vertical="center"/>
    </xf>
    <xf numFmtId="3" fontId="35" fillId="0" borderId="7" xfId="8" applyNumberFormat="1" applyFont="1" applyBorder="1" applyAlignment="1">
      <alignment horizontal="center" vertical="center"/>
    </xf>
    <xf numFmtId="0" fontId="36" fillId="0" borderId="31" xfId="8" applyFont="1" applyFill="1" applyBorder="1" applyAlignment="1">
      <alignment horizontal="center" vertical="center" wrapText="1"/>
    </xf>
    <xf numFmtId="3" fontId="35" fillId="0" borderId="31" xfId="8" applyNumberFormat="1" applyFont="1" applyBorder="1" applyAlignment="1">
      <alignment horizontal="center" vertical="center"/>
    </xf>
    <xf numFmtId="3" fontId="35" fillId="0" borderId="31" xfId="8" applyNumberFormat="1" applyFont="1" applyFill="1" applyBorder="1" applyAlignment="1">
      <alignment horizontal="center" vertical="center"/>
    </xf>
    <xf numFmtId="3" fontId="35" fillId="0" borderId="0" xfId="8" applyNumberFormat="1" applyFont="1" applyFill="1" applyBorder="1" applyAlignment="1">
      <alignment horizontal="center" vertical="center"/>
    </xf>
    <xf numFmtId="3" fontId="35" fillId="0" borderId="0" xfId="8" applyNumberFormat="1" applyFont="1" applyBorder="1" applyAlignment="1">
      <alignment horizontal="center" vertical="center"/>
    </xf>
    <xf numFmtId="9" fontId="35" fillId="0" borderId="0" xfId="22" applyFont="1" applyFill="1" applyBorder="1" applyAlignment="1">
      <alignment horizontal="center" vertical="center"/>
    </xf>
    <xf numFmtId="0" fontId="36" fillId="0" borderId="0" xfId="8" applyFont="1" applyFill="1" applyBorder="1" applyAlignment="1">
      <alignment horizontal="center" vertical="center" wrapText="1"/>
    </xf>
    <xf numFmtId="0" fontId="25" fillId="4" borderId="0" xfId="0" applyFont="1" applyFill="1" applyBorder="1" applyAlignment="1">
      <alignment horizontal="center" vertical="top" wrapText="1"/>
    </xf>
    <xf numFmtId="9" fontId="30" fillId="0" borderId="7" xfId="22" applyFont="1" applyFill="1" applyBorder="1" applyAlignment="1">
      <alignment horizontal="center" vertical="top" wrapText="1"/>
    </xf>
    <xf numFmtId="166" fontId="30" fillId="0" borderId="0" xfId="19" applyNumberFormat="1" applyFont="1" applyFill="1" applyBorder="1" applyAlignment="1">
      <alignment vertical="center" wrapText="1"/>
    </xf>
    <xf numFmtId="0" fontId="30" fillId="0" borderId="7" xfId="18" applyFont="1" applyFill="1" applyBorder="1" applyAlignment="1">
      <alignment horizontal="center" vertical="center" wrapText="1"/>
    </xf>
    <xf numFmtId="0" fontId="28" fillId="0" borderId="7" xfId="18" applyFont="1" applyFill="1" applyBorder="1" applyAlignment="1">
      <alignment horizontal="center" vertical="center" wrapText="1"/>
    </xf>
    <xf numFmtId="166" fontId="30" fillId="0" borderId="7" xfId="19" applyNumberFormat="1" applyFont="1" applyFill="1" applyBorder="1" applyAlignment="1">
      <alignment horizontal="center" vertical="center" wrapText="1"/>
    </xf>
    <xf numFmtId="166" fontId="28" fillId="0" borderId="7" xfId="22" applyNumberFormat="1" applyFont="1" applyFill="1" applyBorder="1" applyAlignment="1">
      <alignment horizontal="center" vertical="center" wrapText="1"/>
    </xf>
    <xf numFmtId="9" fontId="28" fillId="0" borderId="7" xfId="22" applyFont="1" applyFill="1" applyBorder="1" applyAlignment="1">
      <alignment horizontal="center" vertical="center" wrapText="1"/>
    </xf>
    <xf numFmtId="0" fontId="24" fillId="4" borderId="23" xfId="0" applyFont="1" applyFill="1" applyBorder="1" applyAlignment="1">
      <alignment horizontal="left" vertical="top" wrapText="1"/>
    </xf>
    <xf numFmtId="0" fontId="24" fillId="4" borderId="0" xfId="0" applyFont="1" applyFill="1" applyBorder="1" applyAlignment="1">
      <alignment horizontal="left" vertical="top" wrapText="1"/>
    </xf>
    <xf numFmtId="0" fontId="16" fillId="4" borderId="7" xfId="0" applyFont="1" applyFill="1" applyBorder="1" applyAlignment="1">
      <alignment horizontal="center" vertical="top" wrapText="1"/>
    </xf>
    <xf numFmtId="0" fontId="19" fillId="5" borderId="11" xfId="0" applyFont="1" applyFill="1" applyBorder="1" applyAlignment="1">
      <alignment horizontal="justify" vertical="center" wrapText="1"/>
    </xf>
    <xf numFmtId="0" fontId="14" fillId="0" borderId="7" xfId="0" applyFont="1" applyBorder="1" applyAlignment="1">
      <alignment horizontal="justify" vertical="top" wrapText="1"/>
    </xf>
    <xf numFmtId="0" fontId="29" fillId="5" borderId="7" xfId="8" applyFont="1" applyFill="1" applyBorder="1" applyAlignment="1">
      <alignment horizontal="center" vertical="top" wrapText="1"/>
    </xf>
    <xf numFmtId="0" fontId="17" fillId="5" borderId="7" xfId="8" applyFont="1" applyFill="1" applyBorder="1" applyAlignment="1">
      <alignment horizontal="center" vertical="top" wrapText="1"/>
    </xf>
    <xf numFmtId="0" fontId="30" fillId="0" borderId="11" xfId="8" applyFont="1" applyFill="1" applyBorder="1" applyAlignment="1">
      <alignment horizontal="center" vertical="top" wrapText="1"/>
    </xf>
    <xf numFmtId="9" fontId="30" fillId="0" borderId="11" xfId="15" applyFont="1" applyFill="1" applyBorder="1" applyAlignment="1">
      <alignment horizontal="center" vertical="top" wrapText="1"/>
    </xf>
    <xf numFmtId="0" fontId="38" fillId="0" borderId="7" xfId="8" applyFont="1" applyFill="1" applyBorder="1" applyAlignment="1">
      <alignment horizontal="center" vertical="center" wrapText="1"/>
    </xf>
    <xf numFmtId="0" fontId="14" fillId="0" borderId="7" xfId="0" applyFont="1" applyFill="1" applyBorder="1" applyAlignment="1">
      <alignment horizontal="justify" vertical="top" wrapText="1"/>
    </xf>
    <xf numFmtId="0" fontId="30" fillId="0" borderId="13" xfId="8" applyFont="1" applyFill="1" applyBorder="1" applyAlignment="1">
      <alignment horizontal="center" vertical="top" wrapText="1"/>
    </xf>
    <xf numFmtId="9" fontId="30" fillId="0" borderId="13" xfId="15" applyFont="1" applyFill="1" applyBorder="1" applyAlignment="1">
      <alignment horizontal="center" vertical="top" wrapText="1"/>
    </xf>
    <xf numFmtId="0" fontId="11" fillId="4" borderId="7" xfId="0" applyFont="1" applyFill="1" applyBorder="1" applyAlignment="1">
      <alignment vertical="top" wrapText="1"/>
    </xf>
    <xf numFmtId="0" fontId="40" fillId="4" borderId="7" xfId="0" applyFont="1" applyFill="1" applyBorder="1" applyAlignment="1">
      <alignment horizontal="left" vertical="top" wrapText="1"/>
    </xf>
    <xf numFmtId="0" fontId="16" fillId="5" borderId="7" xfId="0" applyFont="1" applyFill="1" applyBorder="1" applyAlignment="1">
      <alignment horizontal="center" vertical="center" wrapText="1"/>
    </xf>
    <xf numFmtId="0" fontId="8" fillId="5" borderId="11" xfId="0" applyFont="1" applyFill="1" applyBorder="1" applyAlignment="1">
      <alignment horizontal="center" vertical="center" wrapText="1"/>
    </xf>
    <xf numFmtId="0" fontId="12" fillId="0" borderId="18" xfId="0" applyFont="1" applyBorder="1" applyAlignment="1">
      <alignment horizontal="justify" vertical="top" wrapText="1"/>
    </xf>
    <xf numFmtId="0" fontId="12" fillId="0" borderId="30" xfId="0" applyFont="1" applyBorder="1" applyAlignment="1">
      <alignment horizontal="justify" vertical="top" wrapText="1"/>
    </xf>
    <xf numFmtId="0" fontId="12" fillId="0" borderId="25" xfId="0" applyFont="1" applyBorder="1" applyAlignment="1">
      <alignment horizontal="justify" vertical="top" wrapText="1"/>
    </xf>
    <xf numFmtId="9" fontId="23" fillId="4" borderId="7" xfId="0" applyNumberFormat="1" applyFont="1" applyFill="1" applyBorder="1" applyAlignment="1">
      <alignment horizontal="center" vertical="center" wrapText="1"/>
    </xf>
    <xf numFmtId="0" fontId="17" fillId="0" borderId="7" xfId="8" applyFont="1" applyFill="1" applyBorder="1" applyAlignment="1">
      <alignment vertical="center" wrapText="1"/>
    </xf>
    <xf numFmtId="0" fontId="30" fillId="0" borderId="7" xfId="8" applyFont="1" applyBorder="1" applyAlignment="1">
      <alignment horizontal="center" vertical="center"/>
    </xf>
    <xf numFmtId="167" fontId="30" fillId="0" borderId="7" xfId="8" applyNumberFormat="1" applyFont="1" applyFill="1" applyBorder="1" applyAlignment="1">
      <alignment horizontal="center" vertical="center" wrapText="1"/>
    </xf>
    <xf numFmtId="0" fontId="30" fillId="0" borderId="7" xfId="8" applyFont="1" applyFill="1" applyBorder="1" applyAlignment="1">
      <alignment horizontal="center" vertical="center"/>
    </xf>
    <xf numFmtId="9" fontId="30" fillId="0" borderId="7" xfId="15" applyFont="1" applyBorder="1" applyAlignment="1">
      <alignment horizontal="center" vertical="center"/>
    </xf>
    <xf numFmtId="0" fontId="17" fillId="13" borderId="7" xfId="8" applyFont="1" applyFill="1" applyBorder="1" applyAlignment="1">
      <alignment horizontal="center" vertical="center" wrapText="1"/>
    </xf>
    <xf numFmtId="2" fontId="17" fillId="13" borderId="7" xfId="8" applyNumberFormat="1" applyFont="1" applyFill="1" applyBorder="1" applyAlignment="1">
      <alignment horizontal="center" vertical="center" wrapText="1"/>
    </xf>
    <xf numFmtId="9" fontId="17" fillId="13" borderId="7" xfId="22" applyFont="1" applyFill="1" applyBorder="1" applyAlignment="1">
      <alignment horizontal="center" vertical="center" wrapText="1"/>
    </xf>
    <xf numFmtId="0" fontId="34" fillId="0" borderId="7" xfId="0" applyFont="1" applyBorder="1" applyAlignment="1">
      <alignment horizontal="justify" vertical="top" wrapText="1"/>
    </xf>
    <xf numFmtId="0" fontId="35" fillId="4" borderId="7" xfId="8" applyFont="1" applyFill="1" applyBorder="1" applyAlignment="1">
      <alignment horizontal="center" vertical="center" wrapText="1"/>
    </xf>
    <xf numFmtId="0" fontId="35" fillId="0" borderId="7" xfId="8" applyFont="1" applyBorder="1" applyAlignment="1">
      <alignment horizontal="center" vertical="center"/>
    </xf>
    <xf numFmtId="2" fontId="35" fillId="0" borderId="7" xfId="8" applyNumberFormat="1" applyFont="1" applyFill="1" applyBorder="1" applyAlignment="1">
      <alignment horizontal="center" vertical="center" wrapText="1"/>
    </xf>
    <xf numFmtId="0" fontId="35" fillId="0" borderId="7" xfId="8" applyFont="1" applyFill="1" applyBorder="1" applyAlignment="1">
      <alignment horizontal="center" vertical="center"/>
    </xf>
    <xf numFmtId="9" fontId="35" fillId="0" borderId="7" xfId="15" applyFont="1" applyBorder="1" applyAlignment="1">
      <alignment horizontal="center" vertical="center"/>
    </xf>
    <xf numFmtId="0" fontId="36" fillId="0" borderId="7" xfId="8" applyFont="1" applyFill="1" applyBorder="1" applyAlignment="1">
      <alignment horizontal="center" vertical="center" wrapText="1"/>
    </xf>
    <xf numFmtId="0" fontId="42" fillId="0" borderId="7" xfId="0" applyFont="1" applyBorder="1" applyAlignment="1">
      <alignment horizontal="justify" vertical="top" wrapText="1"/>
    </xf>
    <xf numFmtId="3" fontId="30" fillId="0" borderId="7" xfId="8" applyNumberFormat="1" applyFont="1" applyBorder="1" applyAlignment="1">
      <alignment horizontal="center" vertical="center"/>
    </xf>
    <xf numFmtId="2" fontId="30" fillId="0" borderId="7" xfId="8" applyNumberFormat="1" applyFont="1" applyFill="1" applyBorder="1" applyAlignment="1">
      <alignment horizontal="center" vertical="center" wrapText="1"/>
    </xf>
    <xf numFmtId="0" fontId="14" fillId="7" borderId="7" xfId="0" applyFont="1" applyFill="1" applyBorder="1" applyAlignment="1">
      <alignment horizontal="justify" vertical="top" wrapText="1"/>
    </xf>
    <xf numFmtId="0" fontId="14" fillId="9" borderId="7" xfId="0" applyFont="1" applyFill="1" applyBorder="1" applyAlignment="1">
      <alignment horizontal="justify" vertical="top" wrapText="1"/>
    </xf>
    <xf numFmtId="0" fontId="14" fillId="10" borderId="7" xfId="0" applyFont="1" applyFill="1" applyBorder="1" applyAlignment="1">
      <alignment horizontal="justify" vertical="top" wrapText="1"/>
    </xf>
    <xf numFmtId="0" fontId="17" fillId="5" borderId="7" xfId="0" applyFont="1" applyFill="1" applyBorder="1" applyAlignment="1">
      <alignment horizontal="center" vertical="center" wrapText="1"/>
    </xf>
    <xf numFmtId="3" fontId="30" fillId="0" borderId="7" xfId="0" applyNumberFormat="1" applyFont="1" applyFill="1" applyBorder="1" applyAlignment="1">
      <alignment horizontal="right" vertical="center" wrapText="1"/>
    </xf>
    <xf numFmtId="9" fontId="7" fillId="7" borderId="7" xfId="0" applyNumberFormat="1" applyFont="1" applyFill="1" applyBorder="1" applyAlignment="1">
      <alignment horizontal="justify" vertical="top" wrapText="1"/>
    </xf>
    <xf numFmtId="0" fontId="7" fillId="10" borderId="7" xfId="0" applyFont="1" applyFill="1" applyBorder="1" applyAlignment="1">
      <alignment horizontal="justify" vertical="top" wrapText="1"/>
    </xf>
    <xf numFmtId="0" fontId="12" fillId="5" borderId="7" xfId="8" applyFont="1" applyFill="1" applyBorder="1" applyAlignment="1">
      <alignment horizontal="center" vertical="center" wrapText="1"/>
    </xf>
    <xf numFmtId="0" fontId="12" fillId="5" borderId="7" xfId="8" applyFont="1" applyFill="1" applyBorder="1" applyAlignment="1">
      <alignment horizontal="center" vertical="center"/>
    </xf>
    <xf numFmtId="9" fontId="17" fillId="0" borderId="7" xfId="22" applyFont="1" applyFill="1" applyBorder="1" applyAlignment="1">
      <alignment horizontal="center" vertical="top" wrapText="1"/>
    </xf>
    <xf numFmtId="9" fontId="25" fillId="4" borderId="7" xfId="22" applyFont="1" applyFill="1" applyBorder="1" applyAlignment="1">
      <alignment horizontal="justify" vertical="top" wrapText="1"/>
    </xf>
    <xf numFmtId="0" fontId="27" fillId="4" borderId="7" xfId="0" applyFont="1" applyFill="1" applyBorder="1" applyAlignment="1">
      <alignment horizontal="justify" vertical="top" wrapText="1"/>
    </xf>
    <xf numFmtId="9" fontId="27" fillId="4" borderId="7" xfId="22" applyFont="1" applyFill="1" applyBorder="1" applyAlignment="1">
      <alignment horizontal="justify" vertical="top" wrapText="1"/>
    </xf>
    <xf numFmtId="10" fontId="25" fillId="4" borderId="7" xfId="22" applyNumberFormat="1" applyFont="1" applyFill="1" applyBorder="1" applyAlignment="1">
      <alignment horizontal="justify" vertical="top" wrapText="1"/>
    </xf>
    <xf numFmtId="10" fontId="27" fillId="13" borderId="7" xfId="22" applyNumberFormat="1" applyFont="1" applyFill="1" applyBorder="1" applyAlignment="1">
      <alignment horizontal="justify" vertical="top" wrapText="1"/>
    </xf>
    <xf numFmtId="0" fontId="25" fillId="4" borderId="7" xfId="0" applyFont="1" applyFill="1" applyBorder="1" applyAlignment="1">
      <alignment horizontal="center" vertical="center" wrapText="1"/>
    </xf>
    <xf numFmtId="0" fontId="14" fillId="0" borderId="0" xfId="0" applyFont="1" applyFill="1"/>
    <xf numFmtId="166" fontId="23" fillId="4" borderId="7" xfId="0" applyNumberFormat="1" applyFont="1" applyFill="1" applyBorder="1" applyAlignment="1">
      <alignment horizontal="center" vertical="center"/>
    </xf>
    <xf numFmtId="166" fontId="30" fillId="0" borderId="11" xfId="17" applyNumberFormat="1" applyFont="1" applyFill="1" applyBorder="1" applyAlignment="1">
      <alignment horizontal="center" vertical="top" wrapText="1"/>
    </xf>
    <xf numFmtId="166" fontId="30" fillId="0" borderId="13" xfId="17" applyNumberFormat="1" applyFont="1" applyFill="1" applyBorder="1" applyAlignment="1">
      <alignment horizontal="center" vertical="top" wrapText="1"/>
    </xf>
    <xf numFmtId="10" fontId="23" fillId="4" borderId="7" xfId="0" applyNumberFormat="1" applyFont="1" applyFill="1" applyBorder="1" applyAlignment="1">
      <alignment horizontal="center" vertical="center"/>
    </xf>
    <xf numFmtId="9" fontId="30" fillId="0" borderId="7" xfId="15" applyFont="1" applyFill="1" applyBorder="1" applyAlignment="1">
      <alignment horizontal="center" vertical="center" wrapText="1"/>
    </xf>
    <xf numFmtId="0" fontId="11" fillId="4" borderId="0" xfId="0" applyFont="1" applyFill="1" applyAlignment="1">
      <alignment vertical="center"/>
    </xf>
    <xf numFmtId="9" fontId="25" fillId="0" borderId="7" xfId="22" applyFont="1" applyFill="1" applyBorder="1" applyAlignment="1">
      <alignment horizontal="center" vertical="top" wrapText="1"/>
    </xf>
    <xf numFmtId="9" fontId="23" fillId="0" borderId="7" xfId="0" applyNumberFormat="1" applyFont="1" applyFill="1" applyBorder="1" applyAlignment="1">
      <alignment horizontal="center"/>
    </xf>
    <xf numFmtId="9" fontId="23" fillId="0" borderId="7" xfId="0" applyNumberFormat="1" applyFont="1" applyFill="1" applyBorder="1" applyAlignment="1">
      <alignment horizontal="center" vertical="center"/>
    </xf>
    <xf numFmtId="9" fontId="17" fillId="0" borderId="0" xfId="22" applyFont="1" applyFill="1" applyBorder="1" applyAlignment="1">
      <alignment horizontal="center" vertical="top" wrapText="1"/>
    </xf>
    <xf numFmtId="0" fontId="25" fillId="4" borderId="9" xfId="0" applyFont="1" applyFill="1" applyBorder="1" applyAlignment="1">
      <alignment horizontal="left" vertical="top" wrapText="1"/>
    </xf>
    <xf numFmtId="0" fontId="25" fillId="4" borderId="10" xfId="0" applyFont="1" applyFill="1" applyBorder="1" applyAlignment="1">
      <alignment horizontal="left" vertical="top" wrapText="1"/>
    </xf>
    <xf numFmtId="0" fontId="30" fillId="0" borderId="7" xfId="16" applyFont="1" applyFill="1" applyBorder="1" applyAlignment="1">
      <alignment horizontal="justify" vertical="top" wrapText="1"/>
    </xf>
    <xf numFmtId="0" fontId="27" fillId="4" borderId="7" xfId="0" applyFont="1" applyFill="1" applyBorder="1" applyAlignment="1">
      <alignment horizontal="center" vertical="top" wrapText="1"/>
    </xf>
    <xf numFmtId="0" fontId="25" fillId="0" borderId="7" xfId="0" applyFont="1" applyFill="1" applyBorder="1" applyAlignment="1">
      <alignment horizontal="center" vertical="top" wrapText="1"/>
    </xf>
    <xf numFmtId="9" fontId="30" fillId="4" borderId="7" xfId="15" applyFont="1" applyFill="1" applyBorder="1" applyAlignment="1">
      <alignment horizontal="center" vertical="top" wrapText="1"/>
    </xf>
    <xf numFmtId="9" fontId="30" fillId="0" borderId="7" xfId="19" applyNumberFormat="1" applyFont="1" applyFill="1" applyBorder="1" applyAlignment="1">
      <alignment horizontal="center" vertical="center" wrapText="1"/>
    </xf>
    <xf numFmtId="9" fontId="28" fillId="0" borderId="7" xfId="19" applyNumberFormat="1" applyFont="1" applyFill="1" applyBorder="1" applyAlignment="1">
      <alignment horizontal="center" vertical="center" wrapText="1"/>
    </xf>
    <xf numFmtId="0" fontId="30" fillId="4" borderId="7" xfId="18" applyFont="1" applyFill="1" applyBorder="1" applyAlignment="1">
      <alignment horizontal="center" vertical="center" wrapText="1"/>
    </xf>
    <xf numFmtId="0" fontId="28" fillId="4" borderId="7" xfId="18" applyFont="1" applyFill="1" applyBorder="1" applyAlignment="1">
      <alignment horizontal="center" vertical="center" wrapText="1"/>
    </xf>
    <xf numFmtId="0" fontId="30" fillId="0" borderId="7" xfId="16" applyFont="1" applyFill="1" applyBorder="1" applyAlignment="1">
      <alignment vertical="top" wrapText="1"/>
    </xf>
    <xf numFmtId="0" fontId="10" fillId="4" borderId="9" xfId="0" applyFont="1" applyFill="1" applyBorder="1" applyAlignment="1">
      <alignment horizontal="center" vertical="top" wrapText="1"/>
    </xf>
    <xf numFmtId="0" fontId="28" fillId="0" borderId="9" xfId="16" applyFont="1" applyFill="1" applyBorder="1" applyAlignment="1">
      <alignment vertical="top" wrapText="1"/>
    </xf>
    <xf numFmtId="0" fontId="28" fillId="0" borderId="9" xfId="18" applyFont="1" applyFill="1" applyBorder="1" applyAlignment="1">
      <alignment horizontal="center" vertical="center" wrapText="1"/>
    </xf>
    <xf numFmtId="166" fontId="28" fillId="0" borderId="9" xfId="22" applyNumberFormat="1" applyFont="1" applyFill="1" applyBorder="1" applyAlignment="1">
      <alignment horizontal="center" vertical="center" wrapText="1"/>
    </xf>
    <xf numFmtId="9" fontId="8" fillId="4" borderId="7" xfId="0" applyNumberFormat="1" applyFont="1" applyFill="1" applyBorder="1" applyAlignment="1">
      <alignment horizontal="center" vertical="top" wrapText="1"/>
    </xf>
    <xf numFmtId="0" fontId="14" fillId="14" borderId="7" xfId="0" applyFont="1" applyFill="1" applyBorder="1" applyAlignment="1">
      <alignment horizontal="justify" vertical="top" wrapText="1"/>
    </xf>
    <xf numFmtId="166" fontId="23" fillId="0" borderId="7" xfId="0" applyNumberFormat="1" applyFont="1" applyFill="1" applyBorder="1" applyAlignment="1">
      <alignment horizontal="center" vertical="center"/>
    </xf>
    <xf numFmtId="9" fontId="8" fillId="0" borderId="7" xfId="0" applyNumberFormat="1" applyFont="1" applyFill="1" applyBorder="1" applyAlignment="1">
      <alignment horizontal="center" vertical="top" wrapText="1"/>
    </xf>
    <xf numFmtId="0" fontId="11" fillId="0" borderId="0" xfId="0" applyFont="1" applyFill="1"/>
    <xf numFmtId="0" fontId="17" fillId="6" borderId="7" xfId="8" applyFont="1" applyFill="1" applyBorder="1" applyAlignment="1">
      <alignment horizontal="center" vertical="center" wrapText="1"/>
    </xf>
    <xf numFmtId="0" fontId="17" fillId="6" borderId="11" xfId="8" applyFont="1" applyFill="1" applyBorder="1" applyAlignment="1">
      <alignment vertical="center" wrapText="1"/>
    </xf>
    <xf numFmtId="0" fontId="17" fillId="6" borderId="13" xfId="8" applyFont="1" applyFill="1" applyBorder="1" applyAlignment="1">
      <alignment vertical="center" wrapText="1"/>
    </xf>
    <xf numFmtId="0" fontId="28" fillId="6" borderId="7" xfId="8" applyFont="1" applyFill="1" applyBorder="1" applyAlignment="1">
      <alignment horizontal="center" vertical="center" wrapText="1"/>
    </xf>
    <xf numFmtId="166" fontId="23" fillId="4" borderId="7" xfId="22" applyNumberFormat="1" applyFont="1" applyFill="1" applyBorder="1" applyAlignment="1">
      <alignment horizontal="center" vertical="center"/>
    </xf>
    <xf numFmtId="0" fontId="34" fillId="0" borderId="7" xfId="0" applyFont="1" applyFill="1" applyBorder="1" applyAlignment="1">
      <alignment horizontal="center" vertical="center" wrapText="1"/>
    </xf>
    <xf numFmtId="0" fontId="35" fillId="0" borderId="7" xfId="8" applyFont="1" applyFill="1" applyBorder="1" applyAlignment="1">
      <alignment horizontal="center" vertical="center" wrapText="1"/>
    </xf>
    <xf numFmtId="3" fontId="35" fillId="0" borderId="7" xfId="8" applyNumberFormat="1" applyFont="1" applyFill="1" applyBorder="1" applyAlignment="1">
      <alignment horizontal="center" vertical="center" wrapText="1"/>
    </xf>
    <xf numFmtId="0" fontId="34" fillId="0" borderId="7" xfId="0" applyFont="1" applyFill="1" applyBorder="1" applyAlignment="1">
      <alignment horizontal="justify" vertical="top" wrapText="1"/>
    </xf>
    <xf numFmtId="0" fontId="18" fillId="0" borderId="7" xfId="0" applyFont="1" applyFill="1" applyBorder="1" applyAlignment="1">
      <alignment horizontal="center" vertical="center" wrapText="1"/>
    </xf>
    <xf numFmtId="0" fontId="30" fillId="0" borderId="7" xfId="16" applyFont="1" applyFill="1" applyBorder="1" applyAlignment="1">
      <alignment horizontal="center" vertical="top" wrapText="1"/>
    </xf>
    <xf numFmtId="9" fontId="30" fillId="0" borderId="7" xfId="22" applyNumberFormat="1" applyFont="1" applyFill="1" applyBorder="1" applyAlignment="1">
      <alignment horizontal="center" vertical="top" wrapText="1"/>
    </xf>
    <xf numFmtId="9" fontId="23" fillId="0" borderId="7" xfId="0" applyNumberFormat="1" applyFont="1" applyFill="1" applyBorder="1" applyAlignment="1">
      <alignment horizontal="center"/>
    </xf>
    <xf numFmtId="0" fontId="30" fillId="4" borderId="7" xfId="16" applyFont="1" applyFill="1" applyBorder="1" applyAlignment="1">
      <alignment horizontal="center" vertical="top" wrapText="1"/>
    </xf>
    <xf numFmtId="0" fontId="30" fillId="4" borderId="7" xfId="18" applyFont="1" applyFill="1" applyBorder="1" applyAlignment="1">
      <alignment horizontal="center" vertical="top" wrapText="1"/>
    </xf>
    <xf numFmtId="0" fontId="25" fillId="4" borderId="7" xfId="0" applyFont="1" applyFill="1" applyBorder="1" applyAlignment="1">
      <alignment horizontal="center" vertical="center" wrapText="1"/>
    </xf>
    <xf numFmtId="3" fontId="30" fillId="0" borderId="7" xfId="8" applyNumberFormat="1" applyFont="1" applyFill="1" applyBorder="1" applyAlignment="1">
      <alignment horizontal="center" vertical="center"/>
    </xf>
    <xf numFmtId="9" fontId="11" fillId="0" borderId="7" xfId="0" applyNumberFormat="1" applyFont="1" applyFill="1" applyBorder="1" applyAlignment="1">
      <alignment horizontal="center" vertical="top" wrapText="1"/>
    </xf>
    <xf numFmtId="0" fontId="11" fillId="0" borderId="7" xfId="0" applyFont="1" applyBorder="1" applyAlignment="1">
      <alignment vertical="top" wrapText="1"/>
    </xf>
    <xf numFmtId="9" fontId="11" fillId="0" borderId="7" xfId="22" applyFont="1" applyBorder="1" applyAlignment="1">
      <alignment horizontal="left" vertical="top" wrapText="1"/>
    </xf>
    <xf numFmtId="0" fontId="25" fillId="4" borderId="0" xfId="0" applyFont="1" applyFill="1"/>
    <xf numFmtId="9" fontId="7" fillId="7" borderId="3" xfId="0" applyNumberFormat="1" applyFont="1" applyFill="1" applyBorder="1" applyAlignment="1">
      <alignment horizontal="justify" vertical="top" wrapText="1"/>
    </xf>
    <xf numFmtId="0" fontId="7" fillId="10" borderId="3" xfId="0" applyFont="1" applyFill="1" applyBorder="1" applyAlignment="1">
      <alignment horizontal="justify" vertical="top" wrapText="1"/>
    </xf>
    <xf numFmtId="0" fontId="7" fillId="9" borderId="3" xfId="0" applyFont="1" applyFill="1" applyBorder="1" applyAlignment="1">
      <alignment horizontal="justify" vertical="top" wrapText="1"/>
    </xf>
    <xf numFmtId="0" fontId="30" fillId="0" borderId="7" xfId="16" applyFont="1" applyFill="1" applyBorder="1" applyAlignment="1">
      <alignment horizontal="center" vertical="top" wrapText="1"/>
    </xf>
    <xf numFmtId="0" fontId="30" fillId="0" borderId="7" xfId="16" applyFont="1" applyFill="1" applyBorder="1" applyAlignment="1">
      <alignment horizontal="justify" vertical="top" wrapText="1"/>
    </xf>
    <xf numFmtId="0" fontId="27" fillId="4" borderId="7" xfId="0" applyFont="1" applyFill="1" applyBorder="1" applyAlignment="1">
      <alignment horizontal="center" vertical="top" wrapText="1"/>
    </xf>
    <xf numFmtId="0" fontId="25" fillId="4" borderId="7" xfId="0" applyFont="1" applyFill="1" applyBorder="1" applyAlignment="1">
      <alignment horizontal="center" vertical="center" wrapText="1"/>
    </xf>
    <xf numFmtId="0" fontId="14" fillId="4" borderId="0" xfId="0" applyFont="1" applyFill="1" applyAlignment="1">
      <alignment horizontal="left" vertical="center"/>
    </xf>
    <xf numFmtId="9" fontId="17" fillId="0" borderId="7" xfId="0" applyNumberFormat="1" applyFont="1" applyFill="1" applyBorder="1" applyAlignment="1">
      <alignment horizontal="center" vertical="center" wrapText="1"/>
    </xf>
    <xf numFmtId="9" fontId="14" fillId="7" borderId="7" xfId="0" applyNumberFormat="1" applyFont="1" applyFill="1" applyBorder="1" applyAlignment="1">
      <alignment horizontal="left" vertical="top" wrapText="1"/>
    </xf>
    <xf numFmtId="0" fontId="24" fillId="4" borderId="23" xfId="0" applyFont="1" applyFill="1" applyBorder="1" applyAlignment="1">
      <alignment horizontal="left" vertical="center" wrapText="1"/>
    </xf>
    <xf numFmtId="0" fontId="24" fillId="4" borderId="0" xfId="0" applyFont="1" applyFill="1" applyBorder="1" applyAlignment="1">
      <alignment horizontal="left" vertical="center" wrapText="1"/>
    </xf>
    <xf numFmtId="0" fontId="16" fillId="5" borderId="7" xfId="0" applyFont="1" applyFill="1" applyBorder="1" applyAlignment="1">
      <alignment horizontal="center" vertical="center" wrapText="1"/>
    </xf>
    <xf numFmtId="0" fontId="41" fillId="5" borderId="7" xfId="0" applyFont="1" applyFill="1" applyBorder="1" applyAlignment="1">
      <alignment horizontal="center" vertical="center" wrapText="1"/>
    </xf>
    <xf numFmtId="0" fontId="17" fillId="5" borderId="7" xfId="8" applyFont="1" applyFill="1" applyBorder="1" applyAlignment="1">
      <alignment horizontal="center" vertical="center" wrapText="1"/>
    </xf>
    <xf numFmtId="0" fontId="17" fillId="0" borderId="7" xfId="8" applyFont="1" applyFill="1" applyBorder="1" applyAlignment="1">
      <alignment horizontal="center" vertical="center" wrapText="1"/>
    </xf>
    <xf numFmtId="0" fontId="19" fillId="4" borderId="0" xfId="0" applyFont="1" applyFill="1" applyBorder="1" applyAlignment="1">
      <alignment horizontal="center" wrapText="1"/>
    </xf>
    <xf numFmtId="0" fontId="11" fillId="4" borderId="0" xfId="0" applyFont="1" applyFill="1" applyBorder="1" applyAlignment="1">
      <alignment horizontal="center"/>
    </xf>
    <xf numFmtId="0" fontId="12" fillId="0" borderId="7" xfId="0" applyFont="1" applyFill="1" applyBorder="1" applyAlignment="1">
      <alignment horizontal="center" vertical="top" wrapText="1"/>
    </xf>
    <xf numFmtId="0" fontId="10" fillId="4" borderId="0" xfId="0" applyFont="1" applyFill="1" applyBorder="1" applyAlignment="1">
      <alignment horizontal="center" vertical="top" wrapText="1"/>
    </xf>
    <xf numFmtId="0" fontId="28" fillId="0" borderId="0" xfId="16" applyFont="1" applyFill="1" applyBorder="1" applyAlignment="1">
      <alignment horizontal="center" vertical="top" wrapText="1"/>
    </xf>
    <xf numFmtId="0" fontId="28" fillId="0" borderId="0" xfId="8" applyFont="1" applyFill="1" applyBorder="1" applyAlignment="1">
      <alignment horizontal="center" vertical="top" wrapText="1"/>
    </xf>
    <xf numFmtId="0" fontId="28" fillId="4" borderId="0" xfId="18" applyFont="1" applyFill="1" applyBorder="1" applyAlignment="1">
      <alignment horizontal="center" vertical="center" wrapText="1"/>
    </xf>
    <xf numFmtId="9" fontId="28" fillId="0" borderId="0" xfId="19" applyNumberFormat="1" applyFont="1" applyFill="1" applyBorder="1" applyAlignment="1">
      <alignment horizontal="center" vertical="center" wrapText="1"/>
    </xf>
    <xf numFmtId="0" fontId="25" fillId="0" borderId="0" xfId="0" applyFont="1" applyFill="1" applyBorder="1" applyAlignment="1">
      <alignment horizontal="left" vertical="top" wrapText="1"/>
    </xf>
    <xf numFmtId="0" fontId="23" fillId="4" borderId="7" xfId="0" applyFont="1" applyFill="1" applyBorder="1" applyAlignment="1">
      <alignment vertical="center"/>
    </xf>
    <xf numFmtId="0" fontId="24" fillId="4" borderId="24" xfId="0" applyFont="1" applyFill="1" applyBorder="1" applyAlignment="1">
      <alignment vertical="center" wrapText="1"/>
    </xf>
    <xf numFmtId="0" fontId="14" fillId="7" borderId="35" xfId="0" applyFont="1" applyFill="1" applyBorder="1" applyAlignment="1">
      <alignment horizontal="center" vertical="top" wrapText="1"/>
    </xf>
    <xf numFmtId="0" fontId="14" fillId="9" borderId="35" xfId="0" applyFont="1" applyFill="1" applyBorder="1" applyAlignment="1">
      <alignment horizontal="center" vertical="top" wrapText="1"/>
    </xf>
    <xf numFmtId="0" fontId="14" fillId="10" borderId="36" xfId="0" applyFont="1" applyFill="1" applyBorder="1" applyAlignment="1">
      <alignment horizontal="center" vertical="top" wrapText="1"/>
    </xf>
    <xf numFmtId="0" fontId="14" fillId="7" borderId="37" xfId="0" applyFont="1" applyFill="1" applyBorder="1" applyAlignment="1">
      <alignment horizontal="center" vertical="top" wrapText="1"/>
    </xf>
    <xf numFmtId="9" fontId="14" fillId="7" borderId="10" xfId="0" applyNumberFormat="1" applyFont="1" applyFill="1" applyBorder="1" applyAlignment="1">
      <alignment horizontal="center" vertical="top" wrapText="1"/>
    </xf>
    <xf numFmtId="0" fontId="14" fillId="9" borderId="10" xfId="0" applyFont="1" applyFill="1" applyBorder="1" applyAlignment="1">
      <alignment horizontal="center" vertical="top" wrapText="1"/>
    </xf>
    <xf numFmtId="0" fontId="14" fillId="10" borderId="10" xfId="0" applyFont="1" applyFill="1" applyBorder="1" applyAlignment="1">
      <alignment horizontal="center" vertical="top" wrapText="1"/>
    </xf>
    <xf numFmtId="1" fontId="23" fillId="0" borderId="7" xfId="22" applyNumberFormat="1" applyFont="1" applyFill="1" applyBorder="1" applyAlignment="1">
      <alignment horizontal="center" vertical="center"/>
    </xf>
    <xf numFmtId="1" fontId="23" fillId="0" borderId="7" xfId="0" applyNumberFormat="1" applyFont="1" applyFill="1" applyBorder="1" applyAlignment="1">
      <alignment horizontal="center" vertical="center"/>
    </xf>
    <xf numFmtId="1" fontId="23" fillId="4" borderId="7" xfId="0" applyNumberFormat="1" applyFont="1" applyFill="1" applyBorder="1" applyAlignment="1">
      <alignment horizontal="center" vertical="center"/>
    </xf>
    <xf numFmtId="0" fontId="29" fillId="4" borderId="7" xfId="8" applyFont="1" applyFill="1" applyBorder="1" applyAlignment="1">
      <alignment horizontal="center" vertical="top" wrapText="1"/>
    </xf>
    <xf numFmtId="0" fontId="24" fillId="4" borderId="7" xfId="0" applyFont="1" applyFill="1" applyBorder="1" applyAlignment="1">
      <alignment horizontal="center" vertical="center" wrapText="1"/>
    </xf>
    <xf numFmtId="0" fontId="36" fillId="4" borderId="7" xfId="8" applyFont="1" applyFill="1" applyBorder="1" applyAlignment="1">
      <alignment horizontal="center" vertical="top" wrapText="1"/>
    </xf>
    <xf numFmtId="0" fontId="14" fillId="7" borderId="19" xfId="0" applyFont="1" applyFill="1" applyBorder="1" applyAlignment="1">
      <alignment horizontal="left" vertical="top" wrapText="1"/>
    </xf>
    <xf numFmtId="0" fontId="14" fillId="10" borderId="22" xfId="0" applyFont="1" applyFill="1" applyBorder="1" applyAlignment="1">
      <alignment horizontal="left" vertical="top" wrapText="1"/>
    </xf>
    <xf numFmtId="0" fontId="14" fillId="10" borderId="7" xfId="0" applyFont="1" applyFill="1" applyBorder="1" applyAlignment="1">
      <alignment horizontal="left" vertical="top" wrapText="1"/>
    </xf>
    <xf numFmtId="0" fontId="18" fillId="15" borderId="7" xfId="0" applyFont="1" applyFill="1" applyBorder="1" applyAlignment="1">
      <alignment horizontal="center" vertical="center"/>
    </xf>
    <xf numFmtId="0" fontId="18" fillId="15" borderId="7" xfId="0" applyFont="1" applyFill="1" applyBorder="1" applyAlignment="1">
      <alignment horizontal="center" vertical="center" wrapText="1"/>
    </xf>
    <xf numFmtId="0" fontId="30" fillId="4" borderId="7" xfId="8" applyFont="1" applyFill="1" applyBorder="1" applyAlignment="1">
      <alignment horizontal="center" vertical="top" wrapText="1"/>
    </xf>
    <xf numFmtId="0" fontId="25" fillId="4" borderId="7" xfId="0" applyFont="1" applyFill="1" applyBorder="1" applyAlignment="1">
      <alignment horizontal="left"/>
    </xf>
    <xf numFmtId="0" fontId="25" fillId="0" borderId="7" xfId="0" applyFont="1" applyFill="1" applyBorder="1" applyAlignment="1">
      <alignment horizontal="left"/>
    </xf>
    <xf numFmtId="9" fontId="11" fillId="4" borderId="7" xfId="0" applyNumberFormat="1" applyFont="1" applyFill="1" applyBorder="1" applyAlignment="1">
      <alignment horizontal="center" vertical="top" wrapText="1"/>
    </xf>
    <xf numFmtId="3" fontId="17" fillId="0" borderId="7" xfId="0" applyNumberFormat="1" applyFont="1" applyFill="1" applyBorder="1" applyAlignment="1">
      <alignment horizontal="right" vertical="center" wrapText="1"/>
    </xf>
    <xf numFmtId="166" fontId="17" fillId="0" borderId="7" xfId="0" applyNumberFormat="1" applyFont="1" applyFill="1" applyBorder="1" applyAlignment="1">
      <alignment horizontal="center" vertical="center" wrapText="1"/>
    </xf>
    <xf numFmtId="9" fontId="11" fillId="4" borderId="7" xfId="22" applyFont="1" applyFill="1" applyBorder="1" applyAlignment="1">
      <alignment horizontal="center" vertical="top" wrapText="1"/>
    </xf>
    <xf numFmtId="1" fontId="17" fillId="13" borderId="7" xfId="8" applyNumberFormat="1" applyFont="1" applyFill="1" applyBorder="1" applyAlignment="1">
      <alignment horizontal="center" vertical="center" wrapText="1"/>
    </xf>
    <xf numFmtId="3" fontId="35" fillId="4" borderId="7" xfId="8" applyNumberFormat="1" applyFont="1" applyFill="1" applyBorder="1" applyAlignment="1">
      <alignment horizontal="center" vertical="center"/>
    </xf>
    <xf numFmtId="3" fontId="30" fillId="9" borderId="7" xfId="8" applyNumberFormat="1" applyFont="1" applyFill="1" applyBorder="1" applyAlignment="1">
      <alignment horizontal="center" vertical="center"/>
    </xf>
    <xf numFmtId="9" fontId="14" fillId="4" borderId="7" xfId="0" applyNumberFormat="1" applyFont="1" applyFill="1" applyBorder="1" applyAlignment="1">
      <alignment horizontal="center" vertical="top" wrapText="1"/>
    </xf>
    <xf numFmtId="9" fontId="14" fillId="14" borderId="7" xfId="0" applyNumberFormat="1" applyFont="1" applyFill="1" applyBorder="1" applyAlignment="1">
      <alignment horizontal="center" vertical="top" wrapText="1"/>
    </xf>
    <xf numFmtId="9" fontId="14" fillId="4" borderId="0" xfId="0" applyNumberFormat="1" applyFont="1" applyFill="1" applyAlignment="1">
      <alignment horizontal="center" vertical="center"/>
    </xf>
    <xf numFmtId="9" fontId="11" fillId="9" borderId="7" xfId="22" applyFont="1" applyFill="1" applyBorder="1" applyAlignment="1">
      <alignment horizontal="center" vertical="top" wrapText="1"/>
    </xf>
    <xf numFmtId="9" fontId="14" fillId="9" borderId="7" xfId="0" applyNumberFormat="1" applyFont="1" applyFill="1" applyBorder="1" applyAlignment="1">
      <alignment horizontal="center" vertical="top" wrapText="1"/>
    </xf>
    <xf numFmtId="166" fontId="48" fillId="4" borderId="7" xfId="0" applyNumberFormat="1" applyFont="1" applyFill="1" applyBorder="1" applyAlignment="1">
      <alignment horizontal="center" vertical="center"/>
    </xf>
    <xf numFmtId="0" fontId="25" fillId="4" borderId="7" xfId="0" applyFont="1" applyFill="1" applyBorder="1" applyAlignment="1">
      <alignment horizontal="center" vertical="top" wrapText="1"/>
    </xf>
    <xf numFmtId="0" fontId="25" fillId="4" borderId="7" xfId="0" applyFont="1" applyFill="1" applyBorder="1" applyAlignment="1">
      <alignment horizontal="center" vertical="center" wrapText="1"/>
    </xf>
    <xf numFmtId="9" fontId="9" fillId="0" borderId="7" xfId="0" applyNumberFormat="1" applyFont="1" applyFill="1" applyBorder="1" applyAlignment="1">
      <alignment horizontal="center" vertical="top" wrapText="1"/>
    </xf>
    <xf numFmtId="9" fontId="9" fillId="4" borderId="7" xfId="22" applyFont="1" applyFill="1" applyBorder="1" applyAlignment="1">
      <alignment horizontal="center" vertical="top" wrapText="1"/>
    </xf>
    <xf numFmtId="0" fontId="25" fillId="0" borderId="7" xfId="0" applyFont="1" applyFill="1" applyBorder="1" applyAlignment="1">
      <alignment horizontal="justify" vertical="top" wrapText="1"/>
    </xf>
    <xf numFmtId="0" fontId="25" fillId="4" borderId="7" xfId="0" applyFont="1" applyFill="1" applyBorder="1" applyAlignment="1">
      <alignment horizontal="center" vertical="top" wrapText="1"/>
    </xf>
    <xf numFmtId="0" fontId="25" fillId="4" borderId="7" xfId="0" applyFont="1" applyFill="1" applyBorder="1" applyAlignment="1">
      <alignment horizontal="justify" vertical="top" wrapText="1"/>
    </xf>
    <xf numFmtId="0" fontId="13" fillId="5" borderId="7" xfId="0" applyFont="1" applyFill="1" applyBorder="1" applyAlignment="1">
      <alignment horizontal="center" vertical="center" wrapText="1"/>
    </xf>
    <xf numFmtId="0" fontId="16" fillId="5" borderId="7" xfId="0" applyFont="1" applyFill="1" applyBorder="1" applyAlignment="1">
      <alignment horizontal="center" vertical="center" wrapText="1"/>
    </xf>
    <xf numFmtId="0" fontId="17" fillId="5" borderId="7" xfId="8" applyFont="1" applyFill="1" applyBorder="1" applyAlignment="1">
      <alignment horizontal="center" vertical="center" wrapText="1"/>
    </xf>
    <xf numFmtId="0" fontId="28" fillId="13" borderId="7" xfId="8" applyFont="1" applyFill="1" applyBorder="1" applyAlignment="1">
      <alignment horizontal="center" vertical="center" wrapText="1"/>
    </xf>
    <xf numFmtId="0" fontId="17" fillId="0" borderId="7" xfId="8" applyFont="1" applyFill="1" applyBorder="1" applyAlignment="1">
      <alignment horizontal="center" vertical="top" wrapText="1"/>
    </xf>
    <xf numFmtId="0" fontId="10" fillId="4" borderId="7" xfId="0" applyFont="1" applyFill="1" applyBorder="1" applyAlignment="1">
      <alignment vertical="top" wrapText="1"/>
    </xf>
    <xf numFmtId="0" fontId="30" fillId="0" borderId="7" xfId="8" applyFont="1" applyFill="1" applyBorder="1" applyAlignment="1">
      <alignment vertical="top" wrapText="1"/>
    </xf>
    <xf numFmtId="0" fontId="8" fillId="4" borderId="7" xfId="0" applyFont="1" applyFill="1" applyBorder="1" applyAlignment="1">
      <alignment vertical="top" wrapText="1"/>
    </xf>
    <xf numFmtId="0" fontId="16" fillId="4" borderId="0" xfId="0" applyFont="1" applyFill="1" applyBorder="1" applyAlignment="1">
      <alignment horizontal="center" vertical="top" wrapText="1"/>
    </xf>
    <xf numFmtId="9" fontId="11" fillId="4" borderId="0" xfId="0" applyNumberFormat="1" applyFont="1" applyFill="1" applyBorder="1" applyAlignment="1">
      <alignment horizontal="center" vertical="top" wrapText="1"/>
    </xf>
    <xf numFmtId="0" fontId="8" fillId="4" borderId="0" xfId="0" applyFont="1" applyFill="1" applyBorder="1" applyAlignment="1">
      <alignment horizontal="justify" vertical="top" wrapText="1"/>
    </xf>
    <xf numFmtId="0" fontId="8" fillId="4" borderId="0" xfId="0" applyFont="1" applyFill="1" applyBorder="1" applyAlignment="1">
      <alignment horizontal="left" vertical="top" wrapText="1"/>
    </xf>
    <xf numFmtId="0" fontId="10" fillId="4" borderId="7" xfId="0" applyFont="1" applyFill="1" applyBorder="1" applyAlignment="1">
      <alignment horizontal="center" vertical="top" wrapText="1"/>
    </xf>
    <xf numFmtId="0" fontId="25" fillId="4" borderId="7" xfId="0" applyFont="1" applyFill="1" applyBorder="1" applyAlignment="1">
      <alignment horizontal="center" vertical="top" wrapText="1"/>
    </xf>
    <xf numFmtId="0" fontId="13" fillId="6" borderId="7" xfId="0" applyFont="1" applyFill="1" applyBorder="1" applyAlignment="1">
      <alignment horizontal="center" vertical="center" wrapText="1"/>
    </xf>
    <xf numFmtId="0" fontId="16" fillId="6" borderId="7" xfId="0" applyFont="1" applyFill="1" applyBorder="1" applyAlignment="1">
      <alignment horizontal="center" vertical="center" wrapText="1"/>
    </xf>
    <xf numFmtId="0" fontId="30" fillId="0" borderId="7" xfId="16" applyFont="1" applyFill="1" applyBorder="1" applyAlignment="1">
      <alignment horizontal="center" vertical="top" wrapText="1"/>
    </xf>
    <xf numFmtId="0" fontId="30" fillId="0" borderId="11" xfId="16" applyFont="1" applyFill="1" applyBorder="1" applyAlignment="1">
      <alignment horizontal="center" vertical="top" wrapText="1"/>
    </xf>
    <xf numFmtId="0" fontId="30" fillId="0" borderId="13" xfId="16" applyFont="1" applyFill="1" applyBorder="1" applyAlignment="1">
      <alignment horizontal="center" vertical="top" wrapText="1"/>
    </xf>
    <xf numFmtId="166" fontId="30" fillId="0" borderId="7" xfId="19" applyNumberFormat="1" applyFont="1" applyFill="1" applyBorder="1" applyAlignment="1">
      <alignment horizontal="center" vertical="top" wrapText="1"/>
    </xf>
    <xf numFmtId="0" fontId="30" fillId="0" borderId="7" xfId="18" applyFont="1" applyFill="1" applyBorder="1" applyAlignment="1">
      <alignment horizontal="center" vertical="top" wrapText="1"/>
    </xf>
    <xf numFmtId="0" fontId="10" fillId="4" borderId="11" xfId="0" applyFont="1" applyFill="1" applyBorder="1" applyAlignment="1">
      <alignment horizontal="center" vertical="top" wrapText="1"/>
    </xf>
    <xf numFmtId="0" fontId="10" fillId="4" borderId="13" xfId="0" applyFont="1" applyFill="1" applyBorder="1" applyAlignment="1">
      <alignment horizontal="center" vertical="top" wrapText="1"/>
    </xf>
    <xf numFmtId="0" fontId="11" fillId="4" borderId="7" xfId="0" applyFont="1" applyFill="1" applyBorder="1" applyAlignment="1">
      <alignment horizontal="center" vertical="top" wrapText="1"/>
    </xf>
    <xf numFmtId="0" fontId="25" fillId="4" borderId="7" xfId="0" applyFont="1" applyFill="1" applyBorder="1" applyAlignment="1">
      <alignment horizontal="center" vertical="top" wrapText="1"/>
    </xf>
    <xf numFmtId="0" fontId="13" fillId="5" borderId="7" xfId="0" applyFont="1" applyFill="1" applyBorder="1" applyAlignment="1">
      <alignment horizontal="center" vertical="center" wrapText="1"/>
    </xf>
    <xf numFmtId="0" fontId="16" fillId="5" borderId="7" xfId="0" applyFont="1" applyFill="1" applyBorder="1" applyAlignment="1">
      <alignment horizontal="center" vertical="center" wrapText="1"/>
    </xf>
    <xf numFmtId="0" fontId="17" fillId="5" borderId="7" xfId="8" applyFont="1" applyFill="1" applyBorder="1" applyAlignment="1">
      <alignment horizontal="center" vertical="center" wrapText="1"/>
    </xf>
    <xf numFmtId="0" fontId="17" fillId="0" borderId="7" xfId="8" applyFont="1" applyFill="1" applyBorder="1" applyAlignment="1">
      <alignment horizontal="center" vertical="center" wrapText="1"/>
    </xf>
    <xf numFmtId="0" fontId="27" fillId="4" borderId="7" xfId="0" applyFont="1" applyFill="1" applyBorder="1" applyAlignment="1">
      <alignment horizontal="center" vertical="top" wrapText="1"/>
    </xf>
    <xf numFmtId="3" fontId="30" fillId="4" borderId="7" xfId="8" applyNumberFormat="1" applyFont="1" applyFill="1" applyBorder="1" applyAlignment="1">
      <alignment horizontal="center" vertical="center"/>
    </xf>
    <xf numFmtId="9" fontId="35" fillId="4" borderId="7" xfId="15" applyFont="1" applyFill="1" applyBorder="1" applyAlignment="1">
      <alignment horizontal="center" vertical="center"/>
    </xf>
    <xf numFmtId="0" fontId="10" fillId="4" borderId="0" xfId="0" applyFont="1" applyFill="1" applyBorder="1" applyAlignment="1">
      <alignment horizontal="center" vertical="center" wrapText="1"/>
    </xf>
    <xf numFmtId="0" fontId="30" fillId="0" borderId="0" xfId="8" applyFont="1" applyFill="1" applyBorder="1" applyAlignment="1">
      <alignment horizontal="center" vertical="top" wrapText="1"/>
    </xf>
    <xf numFmtId="0" fontId="14" fillId="4" borderId="3" xfId="0" applyFont="1" applyFill="1" applyBorder="1" applyAlignment="1">
      <alignment horizontal="justify" vertical="top" wrapText="1"/>
    </xf>
    <xf numFmtId="0" fontId="14" fillId="7" borderId="3" xfId="0" applyFont="1" applyFill="1" applyBorder="1" applyAlignment="1">
      <alignment horizontal="center" vertical="top" wrapText="1"/>
    </xf>
    <xf numFmtId="0" fontId="14" fillId="10" borderId="3" xfId="0" applyFont="1" applyFill="1" applyBorder="1" applyAlignment="1">
      <alignment horizontal="center" vertical="top" wrapText="1"/>
    </xf>
    <xf numFmtId="0" fontId="14" fillId="0" borderId="3" xfId="0" applyFont="1" applyBorder="1" applyAlignment="1">
      <alignment horizontal="justify" vertical="top" wrapText="1"/>
    </xf>
    <xf numFmtId="0" fontId="14" fillId="9" borderId="3" xfId="0" applyFont="1" applyFill="1" applyBorder="1" applyAlignment="1">
      <alignment horizontal="center" vertical="top" wrapText="1"/>
    </xf>
    <xf numFmtId="9" fontId="14" fillId="7" borderId="3" xfId="0" applyNumberFormat="1" applyFont="1" applyFill="1" applyBorder="1" applyAlignment="1">
      <alignment horizontal="center" vertical="top" wrapText="1"/>
    </xf>
    <xf numFmtId="0" fontId="11" fillId="4" borderId="0" xfId="0" applyFont="1" applyFill="1" applyAlignment="1">
      <alignment horizontal="center" vertical="top"/>
    </xf>
    <xf numFmtId="0" fontId="58" fillId="0" borderId="0" xfId="0" applyFont="1" applyBorder="1" applyAlignment="1">
      <alignment horizontal="center" vertical="center"/>
    </xf>
    <xf numFmtId="0" fontId="60" fillId="0" borderId="3" xfId="0" applyFont="1" applyBorder="1" applyAlignment="1">
      <alignment horizontal="center" vertical="center" wrapText="1"/>
    </xf>
    <xf numFmtId="0" fontId="32" fillId="4" borderId="3" xfId="0" applyFont="1" applyFill="1" applyBorder="1"/>
    <xf numFmtId="0" fontId="60" fillId="0" borderId="3" xfId="0" applyFont="1" applyBorder="1" applyAlignment="1">
      <alignment horizontal="center" vertical="top"/>
    </xf>
    <xf numFmtId="0" fontId="60" fillId="0" borderId="3" xfId="0" applyFont="1" applyBorder="1" applyAlignment="1">
      <alignment vertical="center"/>
    </xf>
    <xf numFmtId="0" fontId="61" fillId="0" borderId="0" xfId="0" applyFont="1" applyBorder="1" applyAlignment="1">
      <alignment horizontal="center" vertical="center"/>
    </xf>
    <xf numFmtId="0" fontId="62" fillId="0" borderId="0" xfId="0" applyFont="1" applyBorder="1" applyAlignment="1">
      <alignment horizontal="center" vertical="center"/>
    </xf>
    <xf numFmtId="0" fontId="32" fillId="4" borderId="0" xfId="0" applyFont="1" applyFill="1"/>
    <xf numFmtId="0" fontId="63" fillId="0" borderId="3" xfId="8" applyFont="1" applyFill="1" applyBorder="1" applyAlignment="1">
      <alignment horizontal="center" vertical="top" wrapText="1"/>
    </xf>
    <xf numFmtId="0" fontId="32" fillId="4" borderId="3" xfId="0" applyFont="1" applyFill="1" applyBorder="1" applyAlignment="1">
      <alignment horizontal="center" vertical="top"/>
    </xf>
    <xf numFmtId="0" fontId="32" fillId="4" borderId="3" xfId="0" applyFont="1" applyFill="1" applyBorder="1" applyAlignment="1">
      <alignment horizontal="center"/>
    </xf>
    <xf numFmtId="0" fontId="61" fillId="0" borderId="3" xfId="0" applyFont="1" applyBorder="1" applyAlignment="1">
      <alignment horizontal="center" vertical="center"/>
    </xf>
    <xf numFmtId="1" fontId="32" fillId="4" borderId="3" xfId="0" applyNumberFormat="1" applyFont="1" applyFill="1" applyBorder="1" applyAlignment="1">
      <alignment horizontal="center" vertical="top"/>
    </xf>
    <xf numFmtId="0" fontId="32" fillId="0" borderId="3" xfId="0" applyFont="1" applyFill="1" applyBorder="1" applyAlignment="1">
      <alignment horizontal="center" vertical="top"/>
    </xf>
    <xf numFmtId="0" fontId="32" fillId="16" borderId="3" xfId="0" applyFont="1" applyFill="1" applyBorder="1"/>
    <xf numFmtId="0" fontId="32" fillId="16" borderId="3" xfId="0" applyFont="1" applyFill="1" applyBorder="1" applyAlignment="1">
      <alignment horizontal="center" vertical="top"/>
    </xf>
    <xf numFmtId="0" fontId="32" fillId="16" borderId="3" xfId="0" applyFont="1" applyFill="1" applyBorder="1" applyAlignment="1">
      <alignment horizontal="center"/>
    </xf>
    <xf numFmtId="0" fontId="61" fillId="16" borderId="3" xfId="0" applyFont="1" applyFill="1" applyBorder="1" applyAlignment="1">
      <alignment horizontal="center" vertical="center"/>
    </xf>
    <xf numFmtId="0" fontId="32" fillId="4" borderId="0" xfId="0" applyFont="1" applyFill="1" applyBorder="1"/>
    <xf numFmtId="0" fontId="32" fillId="4" borderId="46" xfId="0" applyFont="1" applyFill="1" applyBorder="1" applyAlignment="1">
      <alignment horizontal="center" vertical="top"/>
    </xf>
    <xf numFmtId="0" fontId="59" fillId="16" borderId="3" xfId="0" applyFont="1" applyFill="1" applyBorder="1"/>
    <xf numFmtId="0" fontId="59" fillId="16" borderId="46" xfId="0" applyFont="1" applyFill="1" applyBorder="1" applyAlignment="1">
      <alignment horizontal="center" vertical="top"/>
    </xf>
    <xf numFmtId="0" fontId="11" fillId="4" borderId="3" xfId="0" applyFont="1" applyFill="1" applyBorder="1"/>
    <xf numFmtId="1" fontId="16" fillId="16" borderId="3" xfId="0" applyNumberFormat="1" applyFont="1" applyFill="1" applyBorder="1" applyAlignment="1">
      <alignment horizontal="center" vertical="top"/>
    </xf>
    <xf numFmtId="0" fontId="11" fillId="16" borderId="3" xfId="0" applyFont="1" applyFill="1" applyBorder="1"/>
    <xf numFmtId="1" fontId="11" fillId="4" borderId="3" xfId="0" applyNumberFormat="1" applyFont="1" applyFill="1" applyBorder="1" applyAlignment="1">
      <alignment horizontal="center" vertical="top"/>
    </xf>
    <xf numFmtId="1" fontId="11" fillId="16" borderId="3" xfId="0" applyNumberFormat="1" applyFont="1" applyFill="1" applyBorder="1" applyAlignment="1">
      <alignment horizontal="center" vertical="top"/>
    </xf>
    <xf numFmtId="0" fontId="11" fillId="16" borderId="3" xfId="0" applyFont="1" applyFill="1" applyBorder="1" applyAlignment="1">
      <alignment horizontal="center" vertical="top"/>
    </xf>
    <xf numFmtId="0" fontId="16" fillId="16" borderId="3" xfId="0" applyFont="1" applyFill="1" applyBorder="1"/>
    <xf numFmtId="0" fontId="16" fillId="16" borderId="3" xfId="0" applyFont="1" applyFill="1" applyBorder="1" applyAlignment="1">
      <alignment horizontal="center" vertical="top"/>
    </xf>
    <xf numFmtId="0" fontId="56" fillId="0" borderId="0" xfId="0" applyFont="1" applyBorder="1" applyAlignment="1">
      <alignment horizontal="left" vertical="center" wrapText="1"/>
    </xf>
    <xf numFmtId="0" fontId="11" fillId="4" borderId="0" xfId="0" applyFont="1" applyFill="1" applyBorder="1" applyAlignment="1">
      <alignment horizontal="center" vertical="top"/>
    </xf>
    <xf numFmtId="0" fontId="57" fillId="4" borderId="7" xfId="0" applyFont="1" applyFill="1" applyBorder="1" applyAlignment="1">
      <alignment horizontal="center" vertical="center"/>
    </xf>
    <xf numFmtId="9" fontId="57" fillId="4" borderId="7" xfId="0" applyNumberFormat="1" applyFont="1" applyFill="1" applyBorder="1" applyAlignment="1">
      <alignment horizontal="center" vertical="center"/>
    </xf>
    <xf numFmtId="0" fontId="16" fillId="4" borderId="0" xfId="0" applyFont="1" applyFill="1"/>
    <xf numFmtId="9" fontId="8" fillId="0" borderId="0" xfId="22" applyFont="1" applyFill="1" applyBorder="1" applyAlignment="1">
      <alignment horizontal="center" vertical="top"/>
    </xf>
    <xf numFmtId="0" fontId="57" fillId="17" borderId="3" xfId="0" applyFont="1" applyFill="1" applyBorder="1" applyAlignment="1">
      <alignment horizontal="center" vertical="center"/>
    </xf>
    <xf numFmtId="9" fontId="23" fillId="4" borderId="3" xfId="0" applyNumberFormat="1" applyFont="1" applyFill="1" applyBorder="1" applyAlignment="1">
      <alignment horizontal="center" vertical="center"/>
    </xf>
    <xf numFmtId="0" fontId="16" fillId="4" borderId="3" xfId="0" applyFont="1" applyFill="1" applyBorder="1" applyAlignment="1">
      <alignment horizontal="center" vertical="center"/>
    </xf>
    <xf numFmtId="0" fontId="16" fillId="4" borderId="3" xfId="0" applyFont="1" applyFill="1" applyBorder="1" applyAlignment="1">
      <alignment horizontal="center" vertical="top"/>
    </xf>
    <xf numFmtId="0" fontId="60" fillId="0" borderId="4" xfId="0" applyFont="1" applyBorder="1" applyAlignment="1">
      <alignment horizontal="center" vertical="center" wrapText="1"/>
    </xf>
    <xf numFmtId="0" fontId="60" fillId="0" borderId="3" xfId="0" applyFont="1" applyBorder="1" applyAlignment="1">
      <alignment horizontal="center" vertical="center"/>
    </xf>
    <xf numFmtId="0" fontId="16" fillId="4" borderId="0" xfId="0" applyFont="1" applyFill="1" applyAlignment="1">
      <alignment horizontal="center" vertical="center"/>
    </xf>
    <xf numFmtId="0" fontId="60" fillId="0" borderId="40" xfId="0" applyFont="1" applyBorder="1" applyAlignment="1">
      <alignment horizontal="center" vertical="center" wrapText="1"/>
    </xf>
    <xf numFmtId="0" fontId="63" fillId="0" borderId="41" xfId="8" applyFont="1" applyFill="1" applyBorder="1" applyAlignment="1">
      <alignment horizontal="center" vertical="center" wrapText="1"/>
    </xf>
    <xf numFmtId="0" fontId="11" fillId="0" borderId="3" xfId="0" applyFont="1" applyFill="1" applyBorder="1" applyAlignment="1">
      <alignment horizontal="center"/>
    </xf>
    <xf numFmtId="0" fontId="32" fillId="4" borderId="4" xfId="0" applyFont="1" applyFill="1" applyBorder="1" applyAlignment="1">
      <alignment horizontal="center"/>
    </xf>
    <xf numFmtId="0" fontId="25" fillId="4" borderId="0" xfId="0" applyFont="1" applyFill="1" applyBorder="1" applyAlignment="1">
      <alignment vertical="top" wrapText="1"/>
    </xf>
    <xf numFmtId="0" fontId="25" fillId="0" borderId="0" xfId="0" applyFont="1" applyFill="1" applyBorder="1" applyAlignment="1">
      <alignment vertical="top" wrapText="1"/>
    </xf>
    <xf numFmtId="0" fontId="56" fillId="17" borderId="3" xfId="0" applyFont="1" applyFill="1" applyBorder="1" applyAlignment="1">
      <alignment horizontal="left" vertical="center" wrapText="1"/>
    </xf>
    <xf numFmtId="0" fontId="32" fillId="17" borderId="4" xfId="0" applyFont="1" applyFill="1" applyBorder="1"/>
    <xf numFmtId="0" fontId="32" fillId="4" borderId="45" xfId="0" applyFont="1" applyFill="1" applyBorder="1" applyAlignment="1">
      <alignment horizontal="center"/>
    </xf>
    <xf numFmtId="0" fontId="32" fillId="4" borderId="46" xfId="0" applyFont="1" applyFill="1" applyBorder="1"/>
    <xf numFmtId="0" fontId="11" fillId="4" borderId="4" xfId="0" applyFont="1" applyFill="1" applyBorder="1" applyAlignment="1">
      <alignment horizontal="center"/>
    </xf>
    <xf numFmtId="9" fontId="11" fillId="17" borderId="4" xfId="22" applyFont="1" applyFill="1" applyBorder="1" applyAlignment="1">
      <alignment horizontal="center"/>
    </xf>
    <xf numFmtId="9" fontId="11" fillId="17" borderId="4" xfId="22" applyFont="1" applyFill="1" applyBorder="1"/>
    <xf numFmtId="9" fontId="11" fillId="17" borderId="4" xfId="0" applyNumberFormat="1" applyFont="1" applyFill="1" applyBorder="1" applyAlignment="1">
      <alignment horizontal="center"/>
    </xf>
    <xf numFmtId="0" fontId="11" fillId="17" borderId="4" xfId="0" applyFont="1" applyFill="1" applyBorder="1"/>
    <xf numFmtId="0" fontId="64" fillId="17" borderId="3" xfId="0" applyFont="1" applyFill="1" applyBorder="1" applyAlignment="1">
      <alignment horizontal="left" vertical="center" wrapText="1"/>
    </xf>
    <xf numFmtId="9" fontId="16" fillId="17" borderId="40" xfId="22" applyFont="1" applyFill="1" applyBorder="1" applyAlignment="1">
      <alignment horizontal="center"/>
    </xf>
    <xf numFmtId="0" fontId="16" fillId="17" borderId="40" xfId="0" applyFont="1" applyFill="1" applyBorder="1"/>
    <xf numFmtId="0" fontId="56" fillId="4" borderId="3" xfId="0" applyFont="1" applyFill="1" applyBorder="1" applyAlignment="1">
      <alignment horizontal="left" vertical="center" wrapText="1"/>
    </xf>
    <xf numFmtId="0" fontId="11" fillId="17" borderId="3" xfId="0" applyFont="1" applyFill="1" applyBorder="1"/>
    <xf numFmtId="0" fontId="56" fillId="18" borderId="3" xfId="0" applyFont="1" applyFill="1" applyBorder="1" applyAlignment="1">
      <alignment horizontal="left" vertical="center" wrapText="1"/>
    </xf>
    <xf numFmtId="9" fontId="16" fillId="18" borderId="3" xfId="22" applyFont="1" applyFill="1" applyBorder="1" applyAlignment="1">
      <alignment horizontal="center"/>
    </xf>
    <xf numFmtId="0" fontId="11" fillId="18" borderId="3" xfId="0" applyFont="1" applyFill="1" applyBorder="1"/>
    <xf numFmtId="0" fontId="32" fillId="4" borderId="0" xfId="0" applyFont="1" applyFill="1" applyBorder="1" applyAlignment="1">
      <alignment horizontal="center" vertical="top" wrapText="1"/>
    </xf>
    <xf numFmtId="0" fontId="56" fillId="4" borderId="0" xfId="0" applyFont="1" applyFill="1" applyBorder="1" applyAlignment="1">
      <alignment horizontal="left" vertical="center" wrapText="1"/>
    </xf>
    <xf numFmtId="0" fontId="57" fillId="17" borderId="7" xfId="0" applyFont="1" applyFill="1" applyBorder="1" applyAlignment="1">
      <alignment horizontal="center" vertical="center"/>
    </xf>
    <xf numFmtId="9" fontId="11" fillId="4" borderId="7" xfId="0" applyNumberFormat="1" applyFont="1" applyFill="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top" wrapText="1"/>
    </xf>
    <xf numFmtId="0" fontId="60" fillId="0" borderId="4" xfId="0" applyFont="1" applyBorder="1" applyAlignment="1">
      <alignment horizontal="center" vertical="center"/>
    </xf>
    <xf numFmtId="0" fontId="63" fillId="0" borderId="40" xfId="8" applyFont="1" applyFill="1" applyBorder="1" applyAlignment="1">
      <alignment horizontal="center" vertical="center" wrapText="1"/>
    </xf>
    <xf numFmtId="0" fontId="63" fillId="0" borderId="3" xfId="8" applyFont="1" applyFill="1" applyBorder="1" applyAlignment="1">
      <alignment horizontal="center" vertical="center" wrapText="1"/>
    </xf>
    <xf numFmtId="0" fontId="11" fillId="4" borderId="3" xfId="0" applyFont="1" applyFill="1" applyBorder="1" applyAlignment="1">
      <alignment wrapText="1"/>
    </xf>
    <xf numFmtId="0" fontId="32" fillId="0" borderId="4" xfId="0" applyFont="1" applyFill="1" applyBorder="1"/>
    <xf numFmtId="0" fontId="59" fillId="17" borderId="4" xfId="0" applyFont="1" applyFill="1" applyBorder="1"/>
    <xf numFmtId="0" fontId="56" fillId="4" borderId="3" xfId="0" applyFont="1" applyFill="1" applyBorder="1" applyAlignment="1">
      <alignment horizontal="center" vertical="center" wrapText="1"/>
    </xf>
    <xf numFmtId="2" fontId="32" fillId="4" borderId="45" xfId="0" applyNumberFormat="1" applyFont="1" applyFill="1" applyBorder="1" applyAlignment="1">
      <alignment horizontal="center"/>
    </xf>
    <xf numFmtId="9" fontId="16" fillId="17" borderId="4" xfId="22" applyFont="1" applyFill="1" applyBorder="1" applyAlignment="1">
      <alignment horizontal="center"/>
    </xf>
    <xf numFmtId="0" fontId="16" fillId="17" borderId="4" xfId="0" applyFont="1" applyFill="1" applyBorder="1"/>
    <xf numFmtId="168" fontId="11" fillId="4" borderId="4" xfId="0" applyNumberFormat="1" applyFont="1" applyFill="1" applyBorder="1" applyAlignment="1">
      <alignment horizontal="center" vertical="center"/>
    </xf>
    <xf numFmtId="0" fontId="11" fillId="4" borderId="4" xfId="0" applyFont="1" applyFill="1" applyBorder="1" applyAlignment="1">
      <alignment horizontal="center" vertical="center"/>
    </xf>
    <xf numFmtId="9" fontId="16" fillId="17" borderId="40" xfId="22" applyFont="1" applyFill="1" applyBorder="1" applyAlignment="1">
      <alignment horizontal="center" vertical="center"/>
    </xf>
    <xf numFmtId="9" fontId="16" fillId="17" borderId="3" xfId="22" applyFont="1" applyFill="1" applyBorder="1" applyAlignment="1">
      <alignment horizontal="center"/>
    </xf>
    <xf numFmtId="0" fontId="16" fillId="17" borderId="3" xfId="0" applyFont="1" applyFill="1" applyBorder="1"/>
    <xf numFmtId="168" fontId="11" fillId="4" borderId="3" xfId="0" applyNumberFormat="1" applyFont="1" applyFill="1" applyBorder="1" applyAlignment="1">
      <alignment horizontal="center"/>
    </xf>
    <xf numFmtId="0" fontId="16" fillId="4" borderId="3" xfId="0" applyFont="1" applyFill="1" applyBorder="1"/>
    <xf numFmtId="9" fontId="11" fillId="17" borderId="3" xfId="22" applyFont="1" applyFill="1" applyBorder="1" applyAlignment="1">
      <alignment horizontal="left"/>
    </xf>
    <xf numFmtId="0" fontId="11" fillId="4" borderId="0" xfId="0" applyFont="1" applyFill="1" applyBorder="1" applyAlignment="1">
      <alignment horizontal="center" wrapText="1"/>
    </xf>
    <xf numFmtId="0" fontId="58" fillId="0" borderId="3" xfId="0" applyFont="1" applyBorder="1" applyAlignment="1">
      <alignment horizontal="center" vertical="center" wrapText="1"/>
    </xf>
    <xf numFmtId="0" fontId="58" fillId="0" borderId="3" xfId="0" applyFont="1" applyBorder="1" applyAlignment="1">
      <alignment horizontal="center" vertical="top" wrapText="1"/>
    </xf>
    <xf numFmtId="0" fontId="61" fillId="0" borderId="3" xfId="0" applyFont="1" applyBorder="1" applyAlignment="1">
      <alignment horizontal="center" vertical="center" wrapText="1"/>
    </xf>
    <xf numFmtId="0" fontId="66" fillId="0" borderId="3" xfId="0" applyFont="1" applyBorder="1" applyAlignment="1">
      <alignment horizontal="center" vertical="top" wrapText="1"/>
    </xf>
    <xf numFmtId="0" fontId="66" fillId="0" borderId="3" xfId="0" applyFont="1" applyBorder="1" applyAlignment="1">
      <alignment horizontal="center" vertical="center" wrapText="1"/>
    </xf>
    <xf numFmtId="0" fontId="67" fillId="0" borderId="3" xfId="0" applyFont="1" applyBorder="1" applyAlignment="1">
      <alignment horizontal="center" vertical="center" wrapText="1"/>
    </xf>
    <xf numFmtId="0" fontId="59" fillId="16" borderId="3" xfId="0" applyFont="1" applyFill="1" applyBorder="1" applyAlignment="1">
      <alignment horizontal="center" wrapText="1"/>
    </xf>
    <xf numFmtId="0" fontId="11" fillId="16" borderId="3" xfId="0" applyFont="1" applyFill="1" applyBorder="1" applyAlignment="1">
      <alignment horizontal="center" vertical="top" wrapText="1"/>
    </xf>
    <xf numFmtId="0" fontId="11" fillId="16" borderId="3" xfId="0" applyFont="1" applyFill="1" applyBorder="1" applyAlignment="1">
      <alignment horizontal="center" wrapText="1"/>
    </xf>
    <xf numFmtId="0" fontId="32" fillId="4" borderId="3" xfId="0" applyFont="1" applyFill="1" applyBorder="1" applyAlignment="1">
      <alignment horizontal="center" wrapText="1"/>
    </xf>
    <xf numFmtId="9" fontId="32" fillId="4" borderId="3" xfId="22" applyFont="1" applyFill="1" applyBorder="1" applyAlignment="1">
      <alignment horizontal="center" wrapText="1"/>
    </xf>
    <xf numFmtId="9" fontId="59" fillId="16" borderId="3" xfId="22" applyFont="1" applyFill="1" applyBorder="1" applyAlignment="1">
      <alignment horizontal="center" wrapText="1"/>
    </xf>
    <xf numFmtId="0" fontId="56" fillId="4" borderId="0" xfId="0" applyFont="1" applyFill="1" applyBorder="1" applyAlignment="1">
      <alignment horizontal="left" vertical="top" wrapText="1"/>
    </xf>
    <xf numFmtId="0" fontId="19" fillId="4" borderId="3" xfId="0" applyFont="1" applyFill="1" applyBorder="1"/>
    <xf numFmtId="0" fontId="66" fillId="4" borderId="3" xfId="0" applyFont="1" applyFill="1" applyBorder="1" applyAlignment="1">
      <alignment horizontal="center" vertical="center" wrapText="1"/>
    </xf>
    <xf numFmtId="0" fontId="53" fillId="16" borderId="3" xfId="0" applyFont="1" applyFill="1" applyBorder="1"/>
    <xf numFmtId="0" fontId="16" fillId="16" borderId="3" xfId="0" applyFont="1" applyFill="1" applyBorder="1" applyAlignment="1">
      <alignment horizontal="center" wrapText="1"/>
    </xf>
    <xf numFmtId="9" fontId="11" fillId="4" borderId="3" xfId="22" applyFont="1" applyFill="1" applyBorder="1" applyAlignment="1">
      <alignment horizontal="center" wrapText="1"/>
    </xf>
    <xf numFmtId="9" fontId="16" fillId="16" borderId="3" xfId="22" applyFont="1" applyFill="1" applyBorder="1" applyAlignment="1">
      <alignment horizontal="center" wrapText="1"/>
    </xf>
    <xf numFmtId="0" fontId="11" fillId="4" borderId="0" xfId="0" applyFont="1" applyFill="1" applyBorder="1" applyAlignment="1">
      <alignment horizontal="left" vertical="center" wrapText="1"/>
    </xf>
    <xf numFmtId="0" fontId="11" fillId="4" borderId="0" xfId="0" applyFont="1" applyFill="1" applyBorder="1" applyAlignment="1">
      <alignment vertical="center" wrapText="1"/>
    </xf>
    <xf numFmtId="0" fontId="11" fillId="4" borderId="24" xfId="0" applyFont="1" applyFill="1" applyBorder="1" applyAlignment="1">
      <alignment vertical="center" wrapText="1"/>
    </xf>
    <xf numFmtId="0" fontId="14" fillId="7" borderId="7" xfId="0" applyFont="1" applyFill="1" applyBorder="1" applyAlignment="1">
      <alignment horizontal="left" vertical="top" wrapText="1"/>
    </xf>
    <xf numFmtId="9" fontId="7" fillId="7" borderId="7" xfId="0" applyNumberFormat="1" applyFont="1" applyFill="1" applyBorder="1" applyAlignment="1">
      <alignment horizontal="justify" vertical="center" wrapText="1"/>
    </xf>
    <xf numFmtId="0" fontId="7" fillId="9" borderId="7" xfId="0" applyFont="1" applyFill="1" applyBorder="1" applyAlignment="1">
      <alignment horizontal="justify" vertical="center" wrapText="1"/>
    </xf>
    <xf numFmtId="0" fontId="7" fillId="10" borderId="7" xfId="0" applyFont="1" applyFill="1" applyBorder="1" applyAlignment="1">
      <alignment horizontal="justify" vertical="center" wrapText="1"/>
    </xf>
    <xf numFmtId="3" fontId="30" fillId="4" borderId="7" xfId="0" applyNumberFormat="1" applyFont="1" applyFill="1" applyBorder="1" applyAlignment="1">
      <alignment horizontal="right" vertical="center" wrapText="1"/>
    </xf>
    <xf numFmtId="10" fontId="30" fillId="0" borderId="7" xfId="0" applyNumberFormat="1" applyFont="1" applyFill="1" applyBorder="1" applyAlignment="1">
      <alignment horizontal="center" vertical="center" wrapText="1"/>
    </xf>
    <xf numFmtId="3" fontId="11" fillId="4" borderId="0" xfId="0" applyNumberFormat="1" applyFont="1" applyFill="1"/>
    <xf numFmtId="0" fontId="17" fillId="0" borderId="9" xfId="0" applyFont="1" applyFill="1" applyBorder="1" applyAlignment="1">
      <alignment horizontal="center" vertical="center" wrapText="1"/>
    </xf>
    <xf numFmtId="49" fontId="25" fillId="0" borderId="9" xfId="5" applyNumberFormat="1" applyFont="1" applyFill="1" applyBorder="1" applyAlignment="1">
      <alignment horizontal="justify" vertical="top" wrapText="1"/>
    </xf>
    <xf numFmtId="49" fontId="25" fillId="0" borderId="10" xfId="5" applyNumberFormat="1" applyFont="1" applyFill="1" applyBorder="1" applyAlignment="1">
      <alignment horizontal="justify" vertical="top" wrapText="1"/>
    </xf>
    <xf numFmtId="9" fontId="16" fillId="4" borderId="7" xfId="0" applyNumberFormat="1" applyFont="1" applyFill="1" applyBorder="1" applyAlignment="1">
      <alignment horizontal="center" vertical="top" wrapText="1"/>
    </xf>
    <xf numFmtId="9" fontId="11" fillId="4" borderId="7" xfId="22" applyNumberFormat="1" applyFont="1" applyFill="1" applyBorder="1" applyAlignment="1">
      <alignment horizontal="center" vertical="top" wrapText="1"/>
    </xf>
    <xf numFmtId="9" fontId="19" fillId="4" borderId="7" xfId="0" applyNumberFormat="1" applyFont="1" applyFill="1" applyBorder="1" applyAlignment="1">
      <alignment horizontal="center" vertical="top" wrapText="1"/>
    </xf>
    <xf numFmtId="37" fontId="30" fillId="4" borderId="7" xfId="0" applyNumberFormat="1" applyFont="1" applyFill="1" applyBorder="1" applyAlignment="1">
      <alignment horizontal="right" vertical="center" wrapText="1"/>
    </xf>
    <xf numFmtId="10" fontId="30" fillId="4" borderId="7" xfId="0" applyNumberFormat="1" applyFont="1" applyFill="1" applyBorder="1" applyAlignment="1">
      <alignment horizontal="center" vertical="center" wrapText="1"/>
    </xf>
    <xf numFmtId="169" fontId="30" fillId="4" borderId="7" xfId="0" applyNumberFormat="1" applyFont="1" applyFill="1" applyBorder="1" applyAlignment="1">
      <alignment horizontal="right" vertical="center" wrapText="1"/>
    </xf>
    <xf numFmtId="0" fontId="17" fillId="0" borderId="7" xfId="8" applyFont="1" applyFill="1" applyBorder="1" applyAlignment="1">
      <alignment horizontal="center" vertical="top" wrapText="1"/>
    </xf>
    <xf numFmtId="0" fontId="7" fillId="9" borderId="3" xfId="0" applyFont="1" applyFill="1" applyBorder="1" applyAlignment="1">
      <alignment horizontal="left" vertical="center" wrapText="1"/>
    </xf>
    <xf numFmtId="0" fontId="7" fillId="10" borderId="3" xfId="0" applyFont="1" applyFill="1" applyBorder="1" applyAlignment="1">
      <alignment horizontal="justify" vertical="center" wrapText="1"/>
    </xf>
    <xf numFmtId="9" fontId="7" fillId="7" borderId="3" xfId="0" applyNumberFormat="1" applyFont="1" applyFill="1" applyBorder="1" applyAlignment="1">
      <alignment horizontal="justify" vertical="center" wrapText="1"/>
    </xf>
    <xf numFmtId="0" fontId="7" fillId="9" borderId="3" xfId="0" applyFont="1" applyFill="1" applyBorder="1" applyAlignment="1">
      <alignment horizontal="justify" vertical="center" wrapText="1"/>
    </xf>
    <xf numFmtId="0" fontId="11" fillId="4" borderId="0" xfId="0" applyFont="1" applyFill="1" applyBorder="1" applyAlignment="1">
      <alignment horizontal="center" vertical="top" wrapText="1"/>
    </xf>
    <xf numFmtId="9" fontId="7" fillId="7" borderId="3" xfId="0" applyNumberFormat="1" applyFont="1" applyFill="1" applyBorder="1" applyAlignment="1">
      <alignment horizontal="left" vertical="center" wrapText="1"/>
    </xf>
    <xf numFmtId="0" fontId="7" fillId="10" borderId="3" xfId="0" applyFont="1" applyFill="1" applyBorder="1" applyAlignment="1">
      <alignment horizontal="left" vertical="center" wrapText="1"/>
    </xf>
    <xf numFmtId="9" fontId="7" fillId="7" borderId="3" xfId="0" applyNumberFormat="1" applyFont="1" applyFill="1" applyBorder="1" applyAlignment="1">
      <alignment horizontal="center" vertical="center" wrapText="1"/>
    </xf>
    <xf numFmtId="0" fontId="7" fillId="9" borderId="3" xfId="0" applyFont="1" applyFill="1" applyBorder="1" applyAlignment="1">
      <alignment horizontal="center" vertical="center" wrapText="1"/>
    </xf>
    <xf numFmtId="0" fontId="7" fillId="10" borderId="3" xfId="0" applyFont="1" applyFill="1" applyBorder="1" applyAlignment="1">
      <alignment horizontal="center" vertical="center" wrapText="1"/>
    </xf>
    <xf numFmtId="0" fontId="11" fillId="4" borderId="0" xfId="0" applyFont="1" applyFill="1" applyBorder="1" applyAlignment="1">
      <alignment horizontal="justify" vertical="top" wrapText="1"/>
    </xf>
    <xf numFmtId="0" fontId="14" fillId="0" borderId="3" xfId="0" applyFont="1" applyBorder="1" applyAlignment="1">
      <alignment horizontal="left" vertical="top" wrapText="1"/>
    </xf>
    <xf numFmtId="0" fontId="12" fillId="0" borderId="7" xfId="0" applyFont="1" applyFill="1" applyBorder="1" applyAlignment="1">
      <alignment horizontal="justify" vertical="top" wrapText="1"/>
    </xf>
    <xf numFmtId="0" fontId="25" fillId="4" borderId="7" xfId="0" applyFont="1" applyFill="1" applyBorder="1" applyAlignment="1">
      <alignment horizontal="center" vertical="top" wrapText="1"/>
    </xf>
    <xf numFmtId="0" fontId="25" fillId="0" borderId="0" xfId="0" applyFont="1" applyFill="1" applyBorder="1" applyAlignment="1">
      <alignment horizontal="left" vertical="top" wrapText="1"/>
    </xf>
    <xf numFmtId="0" fontId="13" fillId="6" borderId="7" xfId="0" applyFont="1" applyFill="1" applyBorder="1" applyAlignment="1">
      <alignment horizontal="center" vertical="center" wrapText="1"/>
    </xf>
    <xf numFmtId="0" fontId="11" fillId="4" borderId="0" xfId="0" applyFont="1" applyFill="1" applyBorder="1" applyAlignment="1">
      <alignment horizontal="center" vertical="top" wrapText="1"/>
    </xf>
    <xf numFmtId="0" fontId="11" fillId="4" borderId="3" xfId="0" applyFont="1" applyFill="1" applyBorder="1" applyAlignment="1">
      <alignment horizontal="center" vertical="top" wrapText="1"/>
    </xf>
    <xf numFmtId="0" fontId="56" fillId="0" borderId="3" xfId="0" applyFont="1" applyBorder="1" applyAlignment="1">
      <alignment horizontal="left" vertical="top" wrapText="1"/>
    </xf>
    <xf numFmtId="0" fontId="56" fillId="0" borderId="3" xfId="0" applyFont="1" applyBorder="1" applyAlignment="1">
      <alignment horizontal="left" vertical="center" wrapText="1"/>
    </xf>
    <xf numFmtId="0" fontId="11" fillId="4" borderId="3" xfId="0" applyFont="1" applyFill="1" applyBorder="1" applyAlignment="1">
      <alignment horizontal="center"/>
    </xf>
    <xf numFmtId="0" fontId="11" fillId="4" borderId="3" xfId="0" applyFont="1" applyFill="1" applyBorder="1" applyAlignment="1">
      <alignment horizontal="center" vertical="top"/>
    </xf>
    <xf numFmtId="0" fontId="56" fillId="4" borderId="3" xfId="0" applyFont="1" applyFill="1" applyBorder="1" applyAlignment="1">
      <alignment horizontal="left" vertical="top" wrapText="1"/>
    </xf>
    <xf numFmtId="0" fontId="11" fillId="0" borderId="3" xfId="0" applyFont="1" applyFill="1" applyBorder="1" applyAlignment="1">
      <alignment horizontal="center" wrapText="1"/>
    </xf>
    <xf numFmtId="0" fontId="11" fillId="4" borderId="3" xfId="0" applyFont="1" applyFill="1" applyBorder="1" applyAlignment="1">
      <alignment horizontal="center" wrapText="1"/>
    </xf>
    <xf numFmtId="0" fontId="25" fillId="0" borderId="7" xfId="0" applyFont="1" applyFill="1" applyBorder="1" applyAlignment="1">
      <alignment horizontal="center" vertical="top" wrapText="1"/>
    </xf>
    <xf numFmtId="0" fontId="27" fillId="4" borderId="7" xfId="0" applyFont="1" applyFill="1" applyBorder="1" applyAlignment="1">
      <alignment horizontal="center" vertical="top" wrapText="1"/>
    </xf>
    <xf numFmtId="0" fontId="63" fillId="9" borderId="3" xfId="8" applyFont="1" applyFill="1" applyBorder="1" applyAlignment="1">
      <alignment horizontal="center" vertical="top" wrapText="1"/>
    </xf>
    <xf numFmtId="0" fontId="32" fillId="9" borderId="3" xfId="0" applyFont="1" applyFill="1" applyBorder="1" applyAlignment="1">
      <alignment horizontal="center"/>
    </xf>
    <xf numFmtId="0" fontId="11" fillId="16" borderId="3" xfId="0" applyFont="1" applyFill="1" applyBorder="1" applyAlignment="1">
      <alignment horizontal="center"/>
    </xf>
    <xf numFmtId="1" fontId="16" fillId="16" borderId="3" xfId="0" applyNumberFormat="1" applyFont="1" applyFill="1" applyBorder="1" applyAlignment="1">
      <alignment horizontal="center" vertical="center"/>
    </xf>
    <xf numFmtId="1" fontId="59" fillId="16" borderId="3" xfId="0" applyNumberFormat="1" applyFont="1" applyFill="1" applyBorder="1" applyAlignment="1">
      <alignment horizontal="center" vertical="top"/>
    </xf>
    <xf numFmtId="1" fontId="16" fillId="16" borderId="3" xfId="0" applyNumberFormat="1" applyFont="1" applyFill="1" applyBorder="1" applyAlignment="1">
      <alignment horizontal="center"/>
    </xf>
    <xf numFmtId="9" fontId="23" fillId="19" borderId="7" xfId="22" applyFont="1" applyFill="1" applyBorder="1" applyAlignment="1">
      <alignment horizontal="center" vertical="center"/>
    </xf>
    <xf numFmtId="9" fontId="23" fillId="10" borderId="7" xfId="0" applyNumberFormat="1" applyFont="1" applyFill="1" applyBorder="1" applyAlignment="1">
      <alignment horizontal="center" vertical="center"/>
    </xf>
    <xf numFmtId="9" fontId="23" fillId="9" borderId="7" xfId="22" applyFont="1" applyFill="1" applyBorder="1" applyAlignment="1">
      <alignment horizontal="center" vertical="center"/>
    </xf>
    <xf numFmtId="0" fontId="10" fillId="6" borderId="32" xfId="0" applyFont="1" applyFill="1" applyBorder="1" applyAlignment="1">
      <alignment vertical="center" wrapText="1"/>
    </xf>
    <xf numFmtId="0" fontId="10" fillId="6" borderId="0" xfId="0" applyFont="1" applyFill="1" applyBorder="1" applyAlignment="1">
      <alignment vertical="center" wrapText="1"/>
    </xf>
    <xf numFmtId="0" fontId="17" fillId="6" borderId="8" xfId="8" applyFont="1" applyFill="1" applyBorder="1" applyAlignment="1">
      <alignment horizontal="center" vertical="top" wrapText="1"/>
    </xf>
    <xf numFmtId="0" fontId="10" fillId="6" borderId="3" xfId="0" applyFont="1" applyFill="1" applyBorder="1" applyAlignment="1">
      <alignment vertical="center" wrapText="1"/>
    </xf>
    <xf numFmtId="0" fontId="17" fillId="6" borderId="3" xfId="8" applyFont="1" applyFill="1" applyBorder="1" applyAlignment="1">
      <alignment horizontal="center" vertical="top" wrapText="1"/>
    </xf>
    <xf numFmtId="9" fontId="30" fillId="0" borderId="8" xfId="19" applyNumberFormat="1" applyFont="1" applyFill="1" applyBorder="1" applyAlignment="1">
      <alignment horizontal="center" vertical="center" wrapText="1"/>
    </xf>
    <xf numFmtId="0" fontId="30" fillId="9" borderId="7" xfId="8" applyFont="1" applyFill="1" applyBorder="1" applyAlignment="1">
      <alignment horizontal="center" vertical="top" wrapText="1"/>
    </xf>
    <xf numFmtId="0" fontId="30" fillId="9" borderId="7" xfId="18" applyFont="1" applyFill="1" applyBorder="1" applyAlignment="1">
      <alignment horizontal="center" vertical="center" wrapText="1"/>
    </xf>
    <xf numFmtId="9" fontId="28" fillId="0" borderId="8" xfId="19" applyNumberFormat="1" applyFont="1" applyFill="1" applyBorder="1" applyAlignment="1">
      <alignment horizontal="center" vertical="center" wrapText="1"/>
    </xf>
    <xf numFmtId="0" fontId="28" fillId="9" borderId="7" xfId="8" applyFont="1" applyFill="1" applyBorder="1" applyAlignment="1">
      <alignment horizontal="center" vertical="top" wrapText="1"/>
    </xf>
    <xf numFmtId="0" fontId="28" fillId="9" borderId="7" xfId="18" applyFont="1" applyFill="1" applyBorder="1" applyAlignment="1">
      <alignment horizontal="center" vertical="center" wrapText="1"/>
    </xf>
    <xf numFmtId="9" fontId="30" fillId="4" borderId="7" xfId="22" applyFont="1" applyFill="1" applyBorder="1" applyAlignment="1">
      <alignment horizontal="center" vertical="center" wrapText="1"/>
    </xf>
    <xf numFmtId="9" fontId="28" fillId="19" borderId="7" xfId="22" applyFont="1" applyFill="1" applyBorder="1" applyAlignment="1">
      <alignment horizontal="center" vertical="center" wrapText="1"/>
    </xf>
    <xf numFmtId="9" fontId="28" fillId="10" borderId="7" xfId="22" applyFont="1" applyFill="1" applyBorder="1" applyAlignment="1">
      <alignment horizontal="center" vertical="center" wrapText="1"/>
    </xf>
    <xf numFmtId="9" fontId="28" fillId="9" borderId="7" xfId="22" applyFont="1" applyFill="1" applyBorder="1" applyAlignment="1">
      <alignment horizontal="center" vertical="center" wrapText="1"/>
    </xf>
    <xf numFmtId="9" fontId="23" fillId="19" borderId="3" xfId="0" applyNumberFormat="1" applyFont="1" applyFill="1" applyBorder="1" applyAlignment="1">
      <alignment horizontal="center" vertical="center"/>
    </xf>
    <xf numFmtId="0" fontId="32" fillId="9" borderId="3" xfId="0" applyFont="1" applyFill="1" applyBorder="1"/>
    <xf numFmtId="0" fontId="32" fillId="9" borderId="46" xfId="0" applyFont="1" applyFill="1" applyBorder="1"/>
    <xf numFmtId="0" fontId="11" fillId="9" borderId="3" xfId="0" applyFont="1" applyFill="1" applyBorder="1"/>
    <xf numFmtId="0" fontId="11" fillId="19" borderId="3" xfId="0" applyFont="1" applyFill="1" applyBorder="1" applyAlignment="1">
      <alignment horizontal="center"/>
    </xf>
    <xf numFmtId="9" fontId="11" fillId="19" borderId="7" xfId="0" applyNumberFormat="1" applyFont="1" applyFill="1" applyBorder="1" applyAlignment="1">
      <alignment horizontal="center" vertical="center"/>
    </xf>
    <xf numFmtId="0" fontId="11" fillId="20" borderId="3" xfId="0" applyFont="1" applyFill="1" applyBorder="1" applyAlignment="1">
      <alignment horizontal="center" wrapText="1"/>
    </xf>
    <xf numFmtId="0" fontId="11" fillId="19" borderId="3" xfId="0" applyFont="1" applyFill="1" applyBorder="1"/>
    <xf numFmtId="9" fontId="16" fillId="9" borderId="40" xfId="22" applyFont="1" applyFill="1" applyBorder="1" applyAlignment="1">
      <alignment horizontal="center" vertical="center"/>
    </xf>
    <xf numFmtId="9" fontId="11" fillId="16" borderId="3" xfId="22" applyFont="1" applyFill="1" applyBorder="1" applyAlignment="1">
      <alignment horizontal="center" vertical="top" wrapText="1"/>
    </xf>
    <xf numFmtId="0" fontId="24" fillId="4" borderId="23" xfId="0" applyFont="1" applyFill="1" applyBorder="1" applyAlignment="1">
      <alignment vertical="center" wrapText="1"/>
    </xf>
    <xf numFmtId="0" fontId="24" fillId="4" borderId="0" xfId="0" applyFont="1" applyFill="1" applyBorder="1" applyAlignment="1">
      <alignment vertical="center" wrapText="1"/>
    </xf>
    <xf numFmtId="0" fontId="10" fillId="4" borderId="7" xfId="0" applyFont="1" applyFill="1" applyBorder="1" applyAlignment="1">
      <alignment horizontal="center" vertical="top" wrapText="1"/>
    </xf>
    <xf numFmtId="0" fontId="30" fillId="0" borderId="7" xfId="16" applyFont="1" applyFill="1" applyBorder="1" applyAlignment="1">
      <alignment horizontal="center" vertical="top" wrapText="1"/>
    </xf>
    <xf numFmtId="0" fontId="11" fillId="4" borderId="0" xfId="0" applyFont="1" applyFill="1" applyBorder="1" applyAlignment="1">
      <alignment horizontal="center" vertical="top" wrapText="1"/>
    </xf>
    <xf numFmtId="0" fontId="16" fillId="5" borderId="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16" fillId="5" borderId="7" xfId="0" applyFont="1" applyFill="1" applyBorder="1" applyAlignment="1">
      <alignment horizontal="center" vertical="center" wrapText="1"/>
    </xf>
    <xf numFmtId="0" fontId="72" fillId="4" borderId="7" xfId="0" applyFont="1" applyFill="1" applyBorder="1" applyAlignment="1">
      <alignment horizontal="center" vertical="top" wrapText="1"/>
    </xf>
    <xf numFmtId="9" fontId="73" fillId="4" borderId="7" xfId="0" applyNumberFormat="1" applyFont="1" applyFill="1" applyBorder="1" applyAlignment="1">
      <alignment horizontal="center" vertical="top" wrapText="1"/>
    </xf>
    <xf numFmtId="0" fontId="73" fillId="4" borderId="0" xfId="0" applyFont="1" applyFill="1"/>
    <xf numFmtId="9" fontId="73" fillId="0" borderId="7" xfId="0" applyNumberFormat="1" applyFont="1" applyFill="1" applyBorder="1" applyAlignment="1">
      <alignment horizontal="center" vertical="top" wrapText="1"/>
    </xf>
    <xf numFmtId="9" fontId="11" fillId="9" borderId="7" xfId="0" applyNumberFormat="1" applyFont="1" applyFill="1" applyBorder="1" applyAlignment="1">
      <alignment horizontal="center" vertical="top" wrapText="1"/>
    </xf>
    <xf numFmtId="9" fontId="73" fillId="9" borderId="7" xfId="0" applyNumberFormat="1" applyFont="1" applyFill="1" applyBorder="1" applyAlignment="1">
      <alignment horizontal="center" vertical="top" wrapText="1"/>
    </xf>
    <xf numFmtId="0" fontId="25" fillId="4" borderId="7" xfId="0" applyFont="1" applyFill="1" applyBorder="1" applyAlignment="1">
      <alignment horizontal="center" vertical="top" wrapText="1"/>
    </xf>
    <xf numFmtId="0" fontId="25" fillId="0" borderId="0" xfId="0" applyFont="1" applyFill="1" applyBorder="1" applyAlignment="1">
      <alignment horizontal="left" vertical="top" wrapText="1"/>
    </xf>
    <xf numFmtId="0" fontId="13" fillId="6" borderId="7" xfId="0" applyFont="1" applyFill="1" applyBorder="1" applyAlignment="1">
      <alignment horizontal="center" vertical="center" wrapText="1"/>
    </xf>
    <xf numFmtId="0" fontId="11" fillId="4" borderId="0" xfId="0" applyFont="1" applyFill="1" applyBorder="1" applyAlignment="1">
      <alignment horizontal="center" vertical="top" wrapText="1"/>
    </xf>
    <xf numFmtId="0" fontId="24" fillId="4" borderId="0" xfId="0" applyFont="1" applyFill="1" applyBorder="1" applyAlignment="1">
      <alignment horizontal="left" vertical="top" wrapText="1"/>
    </xf>
    <xf numFmtId="0" fontId="11" fillId="4" borderId="3" xfId="0" applyFont="1" applyFill="1" applyBorder="1" applyAlignment="1">
      <alignment horizontal="center" vertical="top" wrapText="1"/>
    </xf>
    <xf numFmtId="0" fontId="56" fillId="0" borderId="3" xfId="0" applyFont="1" applyBorder="1" applyAlignment="1">
      <alignment horizontal="left" vertical="top" wrapText="1"/>
    </xf>
    <xf numFmtId="0" fontId="56" fillId="0" borderId="3" xfId="0" applyFont="1" applyBorder="1" applyAlignment="1">
      <alignment horizontal="left" vertical="center" wrapText="1"/>
    </xf>
    <xf numFmtId="0" fontId="11" fillId="4" borderId="3" xfId="0" applyFont="1" applyFill="1" applyBorder="1" applyAlignment="1">
      <alignment horizontal="center"/>
    </xf>
    <xf numFmtId="0" fontId="11" fillId="4" borderId="3" xfId="0" applyFont="1" applyFill="1" applyBorder="1" applyAlignment="1">
      <alignment horizontal="center" vertical="top"/>
    </xf>
    <xf numFmtId="0" fontId="56" fillId="4" borderId="3" xfId="0" applyFont="1" applyFill="1" applyBorder="1" applyAlignment="1">
      <alignment horizontal="left" vertical="top" wrapText="1"/>
    </xf>
    <xf numFmtId="0" fontId="11" fillId="0" borderId="3" xfId="0" applyFont="1" applyFill="1" applyBorder="1" applyAlignment="1">
      <alignment horizontal="center" wrapText="1"/>
    </xf>
    <xf numFmtId="0" fontId="11" fillId="4" borderId="3" xfId="0" applyFont="1" applyFill="1" applyBorder="1" applyAlignment="1">
      <alignment horizontal="center" wrapText="1"/>
    </xf>
    <xf numFmtId="0" fontId="25" fillId="0" borderId="7" xfId="0" applyFont="1" applyFill="1" applyBorder="1" applyAlignment="1">
      <alignment horizontal="center" vertical="top" wrapText="1"/>
    </xf>
    <xf numFmtId="0" fontId="27" fillId="4" borderId="7" xfId="0" applyFont="1" applyFill="1" applyBorder="1" applyAlignment="1">
      <alignment horizontal="center" vertical="top" wrapText="1"/>
    </xf>
    <xf numFmtId="0" fontId="63" fillId="4" borderId="3" xfId="8" applyFont="1" applyFill="1" applyBorder="1" applyAlignment="1">
      <alignment horizontal="center" vertical="top" wrapText="1"/>
    </xf>
    <xf numFmtId="9" fontId="23" fillId="4" borderId="7" xfId="22" applyNumberFormat="1" applyFont="1" applyFill="1" applyBorder="1" applyAlignment="1">
      <alignment horizontal="center" vertical="center"/>
    </xf>
    <xf numFmtId="0" fontId="28" fillId="4" borderId="7" xfId="8" applyFont="1" applyFill="1" applyBorder="1" applyAlignment="1">
      <alignment horizontal="center" vertical="top" wrapText="1"/>
    </xf>
    <xf numFmtId="9" fontId="28" fillId="4" borderId="7" xfId="22" applyFont="1" applyFill="1" applyBorder="1" applyAlignment="1">
      <alignment horizontal="center" vertical="center" wrapText="1"/>
    </xf>
    <xf numFmtId="0" fontId="11" fillId="0" borderId="3" xfId="0" applyFont="1" applyFill="1" applyBorder="1" applyAlignment="1">
      <alignment horizontal="center" vertical="center"/>
    </xf>
    <xf numFmtId="0" fontId="11" fillId="4" borderId="3" xfId="0" applyFont="1" applyFill="1" applyBorder="1" applyAlignment="1">
      <alignment horizontal="center" vertical="center"/>
    </xf>
    <xf numFmtId="0" fontId="32" fillId="4" borderId="4" xfId="0" applyFont="1" applyFill="1" applyBorder="1" applyAlignment="1">
      <alignment horizontal="center" vertical="center"/>
    </xf>
    <xf numFmtId="0" fontId="32" fillId="21" borderId="3" xfId="0" applyFont="1" applyFill="1" applyBorder="1" applyAlignment="1">
      <alignment horizontal="center" vertical="center"/>
    </xf>
    <xf numFmtId="9" fontId="32" fillId="17" borderId="4" xfId="22" applyFont="1" applyFill="1" applyBorder="1" applyAlignment="1">
      <alignment horizontal="center" vertical="center"/>
    </xf>
    <xf numFmtId="9" fontId="59" fillId="17" borderId="4" xfId="22" applyFont="1" applyFill="1" applyBorder="1" applyAlignment="1">
      <alignment horizontal="center" vertical="center"/>
    </xf>
    <xf numFmtId="0" fontId="32" fillId="21" borderId="4" xfId="0" applyFont="1" applyFill="1" applyBorder="1" applyAlignment="1">
      <alignment horizontal="center" vertical="center"/>
    </xf>
    <xf numFmtId="9" fontId="11" fillId="17" borderId="4" xfId="22" applyFont="1" applyFill="1" applyBorder="1" applyAlignment="1">
      <alignment horizontal="center" vertical="center"/>
    </xf>
    <xf numFmtId="9" fontId="16" fillId="17" borderId="4" xfId="22" applyFont="1" applyFill="1" applyBorder="1" applyAlignment="1">
      <alignment horizontal="center" vertical="center"/>
    </xf>
    <xf numFmtId="0" fontId="11" fillId="21" borderId="3" xfId="0" applyFont="1" applyFill="1" applyBorder="1" applyAlignment="1">
      <alignment horizontal="center"/>
    </xf>
    <xf numFmtId="9" fontId="16" fillId="17" borderId="4" xfId="0" applyNumberFormat="1" applyFont="1" applyFill="1" applyBorder="1" applyAlignment="1">
      <alignment horizontal="center"/>
    </xf>
    <xf numFmtId="9" fontId="11" fillId="18" borderId="3" xfId="22" applyFont="1" applyFill="1" applyBorder="1" applyAlignment="1">
      <alignment horizontal="center"/>
    </xf>
    <xf numFmtId="0" fontId="32" fillId="4" borderId="3" xfId="0" applyFont="1" applyFill="1" applyBorder="1" applyAlignment="1">
      <alignment horizontal="center" vertical="center"/>
    </xf>
    <xf numFmtId="1" fontId="32" fillId="4" borderId="45" xfId="0" applyNumberFormat="1" applyFont="1" applyFill="1" applyBorder="1" applyAlignment="1">
      <alignment horizontal="center"/>
    </xf>
    <xf numFmtId="164" fontId="11" fillId="4" borderId="3" xfId="5" applyFont="1" applyFill="1" applyBorder="1" applyAlignment="1">
      <alignment horizontal="center" vertical="center"/>
    </xf>
    <xf numFmtId="9" fontId="16" fillId="17" borderId="3" xfId="0" applyNumberFormat="1" applyFont="1" applyFill="1" applyBorder="1" applyAlignment="1">
      <alignment horizontal="center"/>
    </xf>
    <xf numFmtId="9" fontId="16" fillId="16" borderId="3" xfId="22" applyFont="1" applyFill="1" applyBorder="1" applyAlignment="1">
      <alignment horizontal="center" vertical="top" wrapText="1"/>
    </xf>
    <xf numFmtId="3" fontId="30" fillId="9" borderId="7" xfId="0" applyNumberFormat="1" applyFont="1" applyFill="1" applyBorder="1" applyAlignment="1">
      <alignment horizontal="right" vertical="center" wrapText="1"/>
    </xf>
    <xf numFmtId="9" fontId="23" fillId="9" borderId="7" xfId="0" applyNumberFormat="1" applyFont="1" applyFill="1" applyBorder="1" applyAlignment="1">
      <alignment horizontal="center" vertical="center"/>
    </xf>
    <xf numFmtId="0" fontId="25" fillId="4" borderId="7" xfId="0" applyFont="1" applyFill="1" applyBorder="1" applyAlignment="1">
      <alignment horizontal="center" vertical="top" wrapText="1"/>
    </xf>
    <xf numFmtId="0" fontId="27" fillId="4" borderId="7" xfId="0" applyFont="1" applyFill="1" applyBorder="1" applyAlignment="1">
      <alignment horizontal="center" vertical="top" wrapText="1"/>
    </xf>
    <xf numFmtId="0" fontId="25" fillId="0" borderId="0" xfId="0" applyFont="1" applyFill="1" applyBorder="1" applyAlignment="1">
      <alignment horizontal="left" vertical="top" wrapText="1"/>
    </xf>
    <xf numFmtId="0" fontId="25" fillId="4" borderId="7" xfId="0" applyFont="1" applyFill="1" applyBorder="1" applyAlignment="1">
      <alignment horizontal="center" vertical="top" wrapText="1"/>
    </xf>
    <xf numFmtId="0" fontId="11" fillId="4" borderId="0" xfId="0" applyFont="1" applyFill="1" applyBorder="1" applyAlignment="1">
      <alignment horizontal="center" vertical="top" wrapText="1"/>
    </xf>
    <xf numFmtId="0" fontId="13" fillId="6" borderId="7" xfId="0" applyFont="1" applyFill="1" applyBorder="1" applyAlignment="1">
      <alignment horizontal="center" vertical="center" wrapText="1"/>
    </xf>
    <xf numFmtId="0" fontId="24" fillId="4" borderId="0" xfId="0" applyFont="1" applyFill="1" applyBorder="1" applyAlignment="1">
      <alignment horizontal="left" vertical="top" wrapText="1"/>
    </xf>
    <xf numFmtId="0" fontId="56" fillId="0" borderId="3" xfId="0" applyFont="1" applyBorder="1" applyAlignment="1">
      <alignment horizontal="left" vertical="center" wrapText="1"/>
    </xf>
    <xf numFmtId="0" fontId="11" fillId="4" borderId="3" xfId="0" applyFont="1" applyFill="1" applyBorder="1" applyAlignment="1">
      <alignment horizontal="center" wrapText="1"/>
    </xf>
    <xf numFmtId="0" fontId="11" fillId="4" borderId="3" xfId="0" applyFont="1" applyFill="1" applyBorder="1" applyAlignment="1">
      <alignment horizontal="center" vertical="top" wrapText="1"/>
    </xf>
    <xf numFmtId="0" fontId="56" fillId="4" borderId="3" xfId="0" applyFont="1" applyFill="1" applyBorder="1" applyAlignment="1">
      <alignment horizontal="left" vertical="top" wrapText="1"/>
    </xf>
    <xf numFmtId="0" fontId="11" fillId="0" borderId="3" xfId="0" applyFont="1" applyFill="1" applyBorder="1" applyAlignment="1">
      <alignment horizontal="center" wrapText="1"/>
    </xf>
    <xf numFmtId="0" fontId="11" fillId="4" borderId="3" xfId="0" applyFont="1" applyFill="1" applyBorder="1" applyAlignment="1">
      <alignment horizontal="center"/>
    </xf>
    <xf numFmtId="0" fontId="11" fillId="4" borderId="3" xfId="0" applyFont="1" applyFill="1" applyBorder="1" applyAlignment="1">
      <alignment horizontal="center" vertical="top"/>
    </xf>
    <xf numFmtId="0" fontId="56" fillId="0" borderId="3" xfId="0" applyFont="1" applyBorder="1" applyAlignment="1">
      <alignment horizontal="left" vertical="top" wrapText="1"/>
    </xf>
    <xf numFmtId="0" fontId="56" fillId="4" borderId="3" xfId="0" applyFont="1" applyFill="1" applyBorder="1" applyAlignment="1">
      <alignment horizontal="center" vertical="center" wrapText="1"/>
    </xf>
    <xf numFmtId="0" fontId="11" fillId="4" borderId="3" xfId="0" applyFont="1" applyFill="1" applyBorder="1" applyAlignment="1">
      <alignment horizontal="center" vertical="center"/>
    </xf>
    <xf numFmtId="0" fontId="56" fillId="4" borderId="3" xfId="0" applyFont="1" applyFill="1" applyBorder="1" applyAlignment="1">
      <alignment horizontal="left" vertical="center" wrapText="1"/>
    </xf>
    <xf numFmtId="0" fontId="25" fillId="0" borderId="7" xfId="0" applyFont="1" applyFill="1" applyBorder="1" applyAlignment="1">
      <alignment horizontal="center" vertical="top" wrapText="1"/>
    </xf>
    <xf numFmtId="0" fontId="27" fillId="4" borderId="7" xfId="0" applyFont="1" applyFill="1" applyBorder="1" applyAlignment="1">
      <alignment horizontal="center" vertical="top" wrapText="1"/>
    </xf>
    <xf numFmtId="0" fontId="87" fillId="7" borderId="7" xfId="0" applyFont="1" applyFill="1" applyBorder="1" applyAlignment="1">
      <alignment horizontal="center" vertical="center" wrapText="1"/>
    </xf>
    <xf numFmtId="0" fontId="87" fillId="9" borderId="7" xfId="0" applyFont="1" applyFill="1" applyBorder="1" applyAlignment="1">
      <alignment horizontal="center" vertical="center" wrapText="1"/>
    </xf>
    <xf numFmtId="0" fontId="87" fillId="10" borderId="7" xfId="0" applyFont="1" applyFill="1" applyBorder="1" applyAlignment="1">
      <alignment horizontal="center" vertical="center" wrapText="1"/>
    </xf>
    <xf numFmtId="0" fontId="89" fillId="0" borderId="18" xfId="0" applyFont="1" applyBorder="1" applyAlignment="1">
      <alignment horizontal="justify" vertical="top" wrapText="1"/>
    </xf>
    <xf numFmtId="0" fontId="89" fillId="7" borderId="19" xfId="0" applyFont="1" applyFill="1" applyBorder="1" applyAlignment="1">
      <alignment horizontal="center" vertical="top" wrapText="1"/>
    </xf>
    <xf numFmtId="0" fontId="89" fillId="9" borderId="19" xfId="0" applyFont="1" applyFill="1" applyBorder="1" applyAlignment="1">
      <alignment horizontal="center" vertical="top" wrapText="1"/>
    </xf>
    <xf numFmtId="0" fontId="89" fillId="10" borderId="22" xfId="0" applyFont="1" applyFill="1" applyBorder="1" applyAlignment="1">
      <alignment horizontal="center" vertical="top" wrapText="1"/>
    </xf>
    <xf numFmtId="0" fontId="89" fillId="0" borderId="7" xfId="0" applyFont="1" applyBorder="1" applyAlignment="1">
      <alignment horizontal="left" vertical="top" wrapText="1"/>
    </xf>
    <xf numFmtId="0" fontId="89" fillId="0" borderId="13" xfId="0" applyFont="1" applyBorder="1" applyAlignment="1">
      <alignment horizontal="left" vertical="top" wrapText="1"/>
    </xf>
    <xf numFmtId="0" fontId="89" fillId="7" borderId="7" xfId="0" applyFont="1" applyFill="1" applyBorder="1" applyAlignment="1">
      <alignment horizontal="center" vertical="top" wrapText="1"/>
    </xf>
    <xf numFmtId="0" fontId="89" fillId="9" borderId="7" xfId="0" applyFont="1" applyFill="1" applyBorder="1" applyAlignment="1">
      <alignment horizontal="center" vertical="top" wrapText="1"/>
    </xf>
    <xf numFmtId="0" fontId="89" fillId="10" borderId="7" xfId="0" applyFont="1" applyFill="1" applyBorder="1" applyAlignment="1">
      <alignment horizontal="center" vertical="top" wrapText="1"/>
    </xf>
    <xf numFmtId="9" fontId="89" fillId="7" borderId="19" xfId="0" applyNumberFormat="1" applyFont="1" applyFill="1" applyBorder="1" applyAlignment="1">
      <alignment horizontal="center" vertical="top" wrapText="1"/>
    </xf>
    <xf numFmtId="0" fontId="87" fillId="10" borderId="11" xfId="0" applyFont="1" applyFill="1" applyBorder="1" applyAlignment="1">
      <alignment horizontal="center" vertical="center" wrapText="1"/>
    </xf>
    <xf numFmtId="0" fontId="89" fillId="0" borderId="18" xfId="0" applyFont="1" applyBorder="1" applyAlignment="1">
      <alignment horizontal="center" vertical="top" wrapText="1"/>
    </xf>
    <xf numFmtId="0" fontId="89" fillId="7" borderId="29" xfId="0" applyFont="1" applyFill="1" applyBorder="1" applyAlignment="1">
      <alignment horizontal="center" vertical="top" wrapText="1"/>
    </xf>
    <xf numFmtId="0" fontId="89" fillId="9" borderId="29" xfId="0" applyFont="1" applyFill="1" applyBorder="1" applyAlignment="1">
      <alignment horizontal="center" vertical="top" wrapText="1"/>
    </xf>
    <xf numFmtId="0" fontId="89" fillId="10" borderId="29" xfId="0" applyFont="1" applyFill="1" applyBorder="1" applyAlignment="1">
      <alignment horizontal="center" vertical="top" wrapText="1"/>
    </xf>
    <xf numFmtId="0" fontId="89" fillId="4" borderId="18" xfId="0" applyFont="1" applyFill="1" applyBorder="1" applyAlignment="1">
      <alignment horizontal="justify" vertical="top" wrapText="1"/>
    </xf>
    <xf numFmtId="0" fontId="89" fillId="4" borderId="25" xfId="0" applyFont="1" applyFill="1" applyBorder="1" applyAlignment="1">
      <alignment horizontal="justify" vertical="top" wrapText="1"/>
    </xf>
    <xf numFmtId="0" fontId="89" fillId="10" borderId="26" xfId="0" applyFont="1" applyFill="1" applyBorder="1" applyAlignment="1">
      <alignment horizontal="center" vertical="top" wrapText="1"/>
    </xf>
    <xf numFmtId="0" fontId="95" fillId="4" borderId="0" xfId="0" applyFont="1" applyFill="1" applyBorder="1" applyAlignment="1">
      <alignment vertical="center"/>
    </xf>
    <xf numFmtId="0" fontId="88" fillId="4" borderId="0" xfId="0" applyFont="1" applyFill="1"/>
    <xf numFmtId="0" fontId="88" fillId="4" borderId="0" xfId="0" applyFont="1" applyFill="1" applyAlignment="1">
      <alignment horizontal="center" vertical="center" wrapText="1"/>
    </xf>
    <xf numFmtId="0" fontId="88" fillId="4" borderId="0" xfId="0" applyFont="1" applyFill="1" applyAlignment="1">
      <alignment vertical="top" wrapText="1"/>
    </xf>
    <xf numFmtId="0" fontId="88" fillId="4" borderId="0" xfId="0" applyFont="1" applyFill="1" applyAlignment="1">
      <alignment horizontal="center" vertical="top"/>
    </xf>
    <xf numFmtId="0" fontId="100" fillId="4" borderId="0" xfId="0" applyFont="1" applyFill="1"/>
    <xf numFmtId="0" fontId="87" fillId="4" borderId="0" xfId="0" applyFont="1" applyFill="1"/>
    <xf numFmtId="0" fontId="87" fillId="4" borderId="0" xfId="0" applyFont="1" applyFill="1" applyAlignment="1"/>
    <xf numFmtId="0" fontId="87" fillId="4" borderId="0" xfId="0" applyFont="1" applyFill="1" applyAlignment="1">
      <alignment horizontal="center"/>
    </xf>
    <xf numFmtId="0" fontId="42" fillId="4" borderId="6" xfId="0" applyFont="1" applyFill="1" applyBorder="1" applyAlignment="1">
      <alignment horizontal="center"/>
    </xf>
    <xf numFmtId="0" fontId="101" fillId="4" borderId="0" xfId="0" applyFont="1" applyFill="1" applyAlignment="1"/>
    <xf numFmtId="0" fontId="87" fillId="13" borderId="0" xfId="0" applyFont="1" applyFill="1"/>
    <xf numFmtId="0" fontId="101" fillId="13" borderId="0" xfId="0" applyFont="1" applyFill="1" applyAlignment="1">
      <alignment horizontal="center"/>
    </xf>
    <xf numFmtId="0" fontId="100" fillId="13" borderId="0" xfId="0" applyFont="1" applyFill="1"/>
    <xf numFmtId="0" fontId="92" fillId="23" borderId="7" xfId="0" applyFont="1" applyFill="1" applyBorder="1" applyAlignment="1">
      <alignment horizontal="center" vertical="center" wrapText="1"/>
    </xf>
    <xf numFmtId="0" fontId="93" fillId="23" borderId="7" xfId="0" applyFont="1" applyFill="1" applyBorder="1" applyAlignment="1">
      <alignment horizontal="justify" vertical="top" wrapText="1"/>
    </xf>
    <xf numFmtId="0" fontId="94" fillId="23" borderId="7" xfId="0" applyFont="1" applyFill="1" applyBorder="1" applyAlignment="1">
      <alignment horizontal="left" vertical="top" wrapText="1"/>
    </xf>
    <xf numFmtId="0" fontId="89" fillId="0" borderId="7" xfId="0" applyFont="1" applyBorder="1" applyAlignment="1">
      <alignment horizontal="justify" vertical="top" wrapText="1"/>
    </xf>
    <xf numFmtId="0" fontId="89" fillId="0" borderId="13" xfId="0" applyFont="1" applyBorder="1" applyAlignment="1">
      <alignment horizontal="justify" vertical="top" wrapText="1"/>
    </xf>
    <xf numFmtId="0" fontId="2" fillId="0" borderId="18" xfId="0" applyFont="1" applyBorder="1" applyAlignment="1">
      <alignment horizontal="justify" vertical="top" wrapText="1"/>
    </xf>
    <xf numFmtId="0" fontId="89" fillId="7" borderId="28" xfId="0" applyFont="1" applyFill="1" applyBorder="1" applyAlignment="1">
      <alignment horizontal="center" vertical="top" wrapText="1"/>
    </xf>
    <xf numFmtId="0" fontId="2" fillId="0" borderId="30" xfId="0" applyFont="1" applyBorder="1" applyAlignment="1">
      <alignment horizontal="justify" vertical="top" wrapText="1"/>
    </xf>
    <xf numFmtId="9" fontId="89" fillId="7" borderId="7" xfId="0" applyNumberFormat="1" applyFont="1" applyFill="1" applyBorder="1" applyAlignment="1">
      <alignment horizontal="center" vertical="top" wrapText="1"/>
    </xf>
    <xf numFmtId="0" fontId="11" fillId="4" borderId="0" xfId="0" applyFont="1" applyFill="1" applyProtection="1"/>
    <xf numFmtId="0" fontId="15" fillId="4" borderId="0" xfId="0" applyFont="1" applyFill="1" applyBorder="1" applyAlignment="1" applyProtection="1">
      <alignment vertical="center"/>
    </xf>
    <xf numFmtId="0" fontId="87" fillId="7" borderId="7" xfId="0" applyFont="1" applyFill="1" applyBorder="1" applyAlignment="1" applyProtection="1">
      <alignment horizontal="center" vertical="center" wrapText="1"/>
    </xf>
    <xf numFmtId="0" fontId="87" fillId="9" borderId="7" xfId="0" applyFont="1" applyFill="1" applyBorder="1" applyAlignment="1" applyProtection="1">
      <alignment horizontal="center" vertical="center" wrapText="1"/>
    </xf>
    <xf numFmtId="0" fontId="87" fillId="10" borderId="11" xfId="0" applyFont="1" applyFill="1" applyBorder="1" applyAlignment="1" applyProtection="1">
      <alignment horizontal="center" vertical="center" wrapText="1"/>
    </xf>
    <xf numFmtId="0" fontId="89" fillId="7" borderId="7" xfId="0" applyFont="1" applyFill="1" applyBorder="1" applyAlignment="1" applyProtection="1">
      <alignment horizontal="center" vertical="top" wrapText="1"/>
    </xf>
    <xf numFmtId="0" fontId="89" fillId="9" borderId="7" xfId="0" applyFont="1" applyFill="1" applyBorder="1" applyAlignment="1" applyProtection="1">
      <alignment horizontal="center" vertical="top" wrapText="1"/>
    </xf>
    <xf numFmtId="0" fontId="89" fillId="10" borderId="7" xfId="0" applyFont="1" applyFill="1" applyBorder="1" applyAlignment="1" applyProtection="1">
      <alignment horizontal="center" vertical="top" wrapText="1"/>
    </xf>
    <xf numFmtId="9" fontId="89" fillId="7" borderId="7" xfId="0" applyNumberFormat="1" applyFont="1" applyFill="1" applyBorder="1" applyAlignment="1" applyProtection="1">
      <alignment horizontal="center" vertical="top" wrapText="1"/>
    </xf>
    <xf numFmtId="0" fontId="89" fillId="4" borderId="7" xfId="0" applyFont="1" applyFill="1" applyBorder="1" applyAlignment="1">
      <alignment horizontal="justify" vertical="top" wrapText="1"/>
    </xf>
    <xf numFmtId="9" fontId="99" fillId="4" borderId="7" xfId="0" applyNumberFormat="1" applyFont="1" applyFill="1" applyBorder="1" applyAlignment="1">
      <alignment horizontal="center" vertical="top" wrapText="1"/>
    </xf>
    <xf numFmtId="0" fontId="99" fillId="4" borderId="7" xfId="0" applyFont="1" applyFill="1" applyBorder="1" applyAlignment="1">
      <alignment horizontal="center" vertical="top" wrapText="1"/>
    </xf>
    <xf numFmtId="0" fontId="89" fillId="0" borderId="30" xfId="0" applyFont="1" applyBorder="1" applyAlignment="1">
      <alignment horizontal="justify" vertical="top" wrapText="1"/>
    </xf>
    <xf numFmtId="0" fontId="92" fillId="27" borderId="7" xfId="0" applyFont="1" applyFill="1" applyBorder="1" applyAlignment="1">
      <alignment horizontal="center" vertical="center" wrapText="1"/>
    </xf>
    <xf numFmtId="0" fontId="94" fillId="27" borderId="7" xfId="0" applyFont="1" applyFill="1" applyBorder="1" applyAlignment="1">
      <alignment horizontal="justify" vertical="top" wrapText="1"/>
    </xf>
    <xf numFmtId="0" fontId="93" fillId="27" borderId="7" xfId="0" applyFont="1" applyFill="1" applyBorder="1" applyAlignment="1">
      <alignment horizontal="justify" vertical="top" wrapText="1"/>
    </xf>
    <xf numFmtId="0" fontId="93" fillId="27" borderId="11" xfId="0" applyFont="1" applyFill="1" applyBorder="1" applyAlignment="1">
      <alignment horizontal="justify" vertical="top" wrapText="1"/>
    </xf>
    <xf numFmtId="0" fontId="98" fillId="0" borderId="7" xfId="8" applyFont="1" applyBorder="1" applyAlignment="1">
      <alignment horizontal="center" vertical="top" wrapText="1"/>
    </xf>
    <xf numFmtId="0" fontId="92" fillId="24" borderId="7" xfId="0" applyFont="1" applyFill="1" applyBorder="1" applyAlignment="1">
      <alignment horizontal="center" vertical="center" wrapText="1"/>
    </xf>
    <xf numFmtId="0" fontId="94" fillId="24" borderId="7" xfId="0" applyFont="1" applyFill="1" applyBorder="1" applyAlignment="1">
      <alignment horizontal="justify" vertical="top" wrapText="1"/>
    </xf>
    <xf numFmtId="0" fontId="93" fillId="24" borderId="7" xfId="0" applyFont="1" applyFill="1" applyBorder="1" applyAlignment="1">
      <alignment horizontal="justify" vertical="top" wrapText="1"/>
    </xf>
    <xf numFmtId="0" fontId="94" fillId="24" borderId="11" xfId="0" applyFont="1" applyFill="1" applyBorder="1" applyAlignment="1">
      <alignment horizontal="justify" vertical="top" wrapText="1"/>
    </xf>
    <xf numFmtId="0" fontId="93" fillId="24" borderId="11" xfId="0" applyFont="1" applyFill="1" applyBorder="1" applyAlignment="1">
      <alignment horizontal="justify" vertical="top" wrapText="1"/>
    </xf>
    <xf numFmtId="0" fontId="94" fillId="24" borderId="7" xfId="0" applyFont="1" applyFill="1" applyBorder="1" applyAlignment="1">
      <alignment horizontal="center" vertical="center" wrapText="1"/>
    </xf>
    <xf numFmtId="0" fontId="93" fillId="24" borderId="7" xfId="0" applyFont="1" applyFill="1" applyBorder="1" applyAlignment="1">
      <alignment horizontal="justify" vertical="center" wrapText="1"/>
    </xf>
    <xf numFmtId="0" fontId="94" fillId="24" borderId="11" xfId="0" applyFont="1" applyFill="1" applyBorder="1" applyAlignment="1">
      <alignment horizontal="center" vertical="center" wrapText="1"/>
    </xf>
    <xf numFmtId="0" fontId="93" fillId="24" borderId="11" xfId="0" applyFont="1" applyFill="1" applyBorder="1" applyAlignment="1">
      <alignment horizontal="justify" vertical="center" wrapText="1"/>
    </xf>
    <xf numFmtId="9" fontId="89" fillId="7" borderId="29" xfId="0" applyNumberFormat="1" applyFont="1" applyFill="1" applyBorder="1" applyAlignment="1">
      <alignment horizontal="center" vertical="top" wrapText="1"/>
    </xf>
    <xf numFmtId="0" fontId="89" fillId="0" borderId="13" xfId="0" applyFont="1" applyBorder="1" applyAlignment="1">
      <alignment horizontal="center" vertical="top" wrapText="1"/>
    </xf>
    <xf numFmtId="0" fontId="89" fillId="0" borderId="7" xfId="0" applyFont="1" applyBorder="1" applyAlignment="1">
      <alignment horizontal="center" vertical="top" wrapText="1"/>
    </xf>
    <xf numFmtId="0" fontId="92" fillId="25" borderId="7" xfId="0" applyFont="1" applyFill="1" applyBorder="1" applyAlignment="1" applyProtection="1">
      <alignment horizontal="center" vertical="center" wrapText="1"/>
    </xf>
    <xf numFmtId="0" fontId="94" fillId="25" borderId="7" xfId="0" applyFont="1" applyFill="1" applyBorder="1" applyAlignment="1" applyProtection="1">
      <alignment horizontal="center" vertical="center" wrapText="1"/>
    </xf>
    <xf numFmtId="0" fontId="93" fillId="25" borderId="7" xfId="0" applyFont="1" applyFill="1" applyBorder="1" applyAlignment="1" applyProtection="1">
      <alignment horizontal="justify" vertical="center" wrapText="1"/>
    </xf>
    <xf numFmtId="0" fontId="94" fillId="25" borderId="11" xfId="0" applyFont="1" applyFill="1" applyBorder="1" applyAlignment="1" applyProtection="1">
      <alignment horizontal="center" vertical="center" wrapText="1"/>
    </xf>
    <xf numFmtId="0" fontId="93" fillId="25" borderId="11" xfId="0" applyFont="1" applyFill="1" applyBorder="1" applyAlignment="1" applyProtection="1">
      <alignment horizontal="justify" vertical="center" wrapText="1"/>
    </xf>
    <xf numFmtId="0" fontId="92" fillId="28" borderId="7" xfId="0" applyFont="1" applyFill="1" applyBorder="1" applyAlignment="1">
      <alignment horizontal="center" vertical="center" wrapText="1"/>
    </xf>
    <xf numFmtId="0" fontId="94" fillId="28" borderId="7" xfId="0" applyFont="1" applyFill="1" applyBorder="1" applyAlignment="1">
      <alignment horizontal="center" vertical="center" wrapText="1"/>
    </xf>
    <xf numFmtId="0" fontId="93" fillId="28" borderId="7" xfId="0" applyFont="1" applyFill="1" applyBorder="1" applyAlignment="1">
      <alignment horizontal="justify" vertical="center" wrapText="1"/>
    </xf>
    <xf numFmtId="0" fontId="94" fillId="28" borderId="11" xfId="0" applyFont="1" applyFill="1" applyBorder="1" applyAlignment="1">
      <alignment horizontal="center" vertical="center" wrapText="1"/>
    </xf>
    <xf numFmtId="0" fontId="93" fillId="28" borderId="11" xfId="0" applyFont="1" applyFill="1" applyBorder="1" applyAlignment="1">
      <alignment horizontal="justify" vertical="center" wrapText="1"/>
    </xf>
    <xf numFmtId="9" fontId="99" fillId="4" borderId="7" xfId="0" applyNumberFormat="1" applyFont="1" applyFill="1" applyBorder="1" applyAlignment="1">
      <alignment horizontal="center" vertical="center" wrapText="1"/>
    </xf>
    <xf numFmtId="9" fontId="98" fillId="0" borderId="7" xfId="22" applyFont="1" applyBorder="1" applyAlignment="1">
      <alignment horizontal="center" vertical="top" wrapText="1"/>
    </xf>
    <xf numFmtId="0" fontId="99" fillId="4" borderId="8" xfId="0" applyFont="1" applyFill="1" applyBorder="1" applyAlignment="1">
      <alignment horizontal="center" vertical="top" wrapText="1"/>
    </xf>
    <xf numFmtId="0" fontId="99" fillId="4" borderId="7" xfId="0" applyFont="1" applyFill="1" applyBorder="1" applyAlignment="1">
      <alignment horizontal="center" vertical="center" wrapText="1"/>
    </xf>
    <xf numFmtId="0" fontId="96" fillId="0" borderId="7" xfId="0" applyFont="1" applyBorder="1" applyAlignment="1">
      <alignment horizontal="center" vertical="top" wrapText="1"/>
    </xf>
    <xf numFmtId="0" fontId="96" fillId="15" borderId="7" xfId="0" applyFont="1" applyFill="1" applyBorder="1" applyAlignment="1">
      <alignment horizontal="center" vertical="center" wrapText="1"/>
    </xf>
    <xf numFmtId="0" fontId="42" fillId="15" borderId="7" xfId="8" applyFont="1" applyFill="1" applyBorder="1" applyAlignment="1">
      <alignment horizontal="center" vertical="center" wrapText="1"/>
    </xf>
    <xf numFmtId="9" fontId="98" fillId="0" borderId="8" xfId="15" applyFont="1" applyFill="1" applyBorder="1" applyAlignment="1" applyProtection="1">
      <alignment horizontal="center" vertical="top" wrapText="1"/>
    </xf>
    <xf numFmtId="0" fontId="99" fillId="4" borderId="8" xfId="0" applyFont="1" applyFill="1" applyBorder="1" applyAlignment="1">
      <alignment horizontal="center" vertical="top" wrapText="1"/>
    </xf>
    <xf numFmtId="0" fontId="99" fillId="4" borderId="7" xfId="0" applyFont="1" applyFill="1" applyBorder="1" applyAlignment="1">
      <alignment horizontal="center" vertical="center" wrapText="1"/>
    </xf>
    <xf numFmtId="0" fontId="11" fillId="9" borderId="0" xfId="0" applyFont="1" applyFill="1"/>
    <xf numFmtId="42" fontId="98" fillId="0" borderId="7" xfId="31" applyFont="1" applyBorder="1" applyAlignment="1">
      <alignment horizontal="center" vertical="top" wrapText="1"/>
    </xf>
    <xf numFmtId="0" fontId="99" fillId="4" borderId="8" xfId="0" applyFont="1" applyFill="1" applyBorder="1" applyAlignment="1">
      <alignment horizontal="center" vertical="top" wrapText="1"/>
    </xf>
    <xf numFmtId="0" fontId="99" fillId="4" borderId="7" xfId="0" applyFont="1" applyFill="1" applyBorder="1" applyAlignment="1">
      <alignment horizontal="center" vertical="center" wrapText="1"/>
    </xf>
    <xf numFmtId="0" fontId="96" fillId="0" borderId="7" xfId="0" applyFont="1" applyBorder="1" applyAlignment="1">
      <alignment horizontal="center" vertical="top" wrapText="1"/>
    </xf>
    <xf numFmtId="0" fontId="96" fillId="15" borderId="7" xfId="0" applyFont="1" applyFill="1" applyBorder="1" applyAlignment="1">
      <alignment horizontal="center" vertical="center" wrapText="1"/>
    </xf>
    <xf numFmtId="0" fontId="42" fillId="15" borderId="7" xfId="8" applyFont="1" applyFill="1" applyBorder="1" applyAlignment="1">
      <alignment horizontal="center" vertical="center" wrapText="1"/>
    </xf>
    <xf numFmtId="9" fontId="98" fillId="0" borderId="8" xfId="15" applyFont="1" applyFill="1" applyBorder="1" applyAlignment="1" applyProtection="1">
      <alignment horizontal="center" vertical="top" wrapText="1"/>
    </xf>
    <xf numFmtId="9" fontId="98" fillId="0" borderId="7" xfId="15" applyFont="1" applyFill="1" applyBorder="1" applyAlignment="1" applyProtection="1">
      <alignment horizontal="center" vertical="top" wrapText="1"/>
    </xf>
    <xf numFmtId="0" fontId="89" fillId="4" borderId="7" xfId="0" applyFont="1" applyFill="1" applyBorder="1" applyAlignment="1">
      <alignment horizontal="justify" vertical="top" wrapText="1"/>
    </xf>
    <xf numFmtId="9" fontId="89" fillId="7" borderId="28" xfId="0" applyNumberFormat="1" applyFont="1" applyFill="1" applyBorder="1" applyAlignment="1">
      <alignment horizontal="center" vertical="top" wrapText="1"/>
    </xf>
    <xf numFmtId="0" fontId="89" fillId="0" borderId="7" xfId="0" applyFont="1" applyFill="1" applyBorder="1" applyAlignment="1">
      <alignment horizontal="left" vertical="top" wrapText="1"/>
    </xf>
    <xf numFmtId="0" fontId="89" fillId="0" borderId="13" xfId="0" applyFont="1" applyFill="1" applyBorder="1" applyAlignment="1">
      <alignment horizontal="left" vertical="top" wrapText="1"/>
    </xf>
    <xf numFmtId="0" fontId="89" fillId="10" borderId="10" xfId="0" applyFont="1" applyFill="1" applyBorder="1" applyAlignment="1">
      <alignment horizontal="center" vertical="top" wrapText="1"/>
    </xf>
    <xf numFmtId="0" fontId="89" fillId="4" borderId="7" xfId="0" applyFont="1" applyFill="1" applyBorder="1" applyAlignment="1">
      <alignment horizontal="justify" vertical="top" wrapText="1"/>
    </xf>
    <xf numFmtId="0" fontId="89" fillId="4" borderId="7" xfId="0" applyFont="1" applyFill="1" applyBorder="1" applyAlignment="1" applyProtection="1">
      <alignment horizontal="justify" vertical="top" wrapText="1"/>
    </xf>
    <xf numFmtId="0" fontId="89" fillId="4" borderId="30" xfId="0" applyFont="1" applyFill="1" applyBorder="1" applyAlignment="1">
      <alignment horizontal="justify" vertical="top" wrapText="1"/>
    </xf>
    <xf numFmtId="0" fontId="89" fillId="4" borderId="7" xfId="0" applyFont="1" applyFill="1" applyBorder="1" applyAlignment="1" applyProtection="1">
      <alignment horizontal="left" vertical="top" wrapText="1"/>
    </xf>
    <xf numFmtId="0" fontId="89" fillId="4" borderId="13" xfId="0" applyFont="1" applyFill="1" applyBorder="1" applyAlignment="1">
      <alignment horizontal="left" vertical="top" wrapText="1"/>
    </xf>
    <xf numFmtId="0" fontId="89" fillId="4" borderId="7" xfId="0" applyFont="1" applyFill="1" applyBorder="1" applyAlignment="1">
      <alignment horizontal="left" vertical="top" wrapText="1"/>
    </xf>
    <xf numFmtId="0" fontId="90" fillId="0" borderId="11" xfId="0" applyFont="1" applyFill="1" applyBorder="1" applyAlignment="1">
      <alignment vertical="top" wrapText="1"/>
    </xf>
    <xf numFmtId="0" fontId="90" fillId="0" borderId="12" xfId="0" applyFont="1" applyFill="1" applyBorder="1" applyAlignment="1">
      <alignment vertical="top" wrapText="1"/>
    </xf>
    <xf numFmtId="0" fontId="90" fillId="0" borderId="13" xfId="0" applyFont="1" applyFill="1" applyBorder="1" applyAlignment="1">
      <alignment vertical="top" wrapText="1"/>
    </xf>
    <xf numFmtId="0" fontId="108" fillId="4" borderId="17" xfId="0" applyFont="1" applyFill="1" applyBorder="1" applyAlignment="1">
      <alignment vertical="top" wrapText="1"/>
    </xf>
    <xf numFmtId="0" fontId="108" fillId="4" borderId="20" xfId="0" applyFont="1" applyFill="1" applyBorder="1" applyAlignment="1">
      <alignment vertical="top" wrapText="1"/>
    </xf>
    <xf numFmtId="0" fontId="108" fillId="4" borderId="21" xfId="0" applyFont="1" applyFill="1" applyBorder="1" applyAlignment="1">
      <alignment vertical="top" wrapText="1"/>
    </xf>
    <xf numFmtId="0" fontId="113" fillId="4" borderId="17" xfId="0" applyFont="1" applyFill="1" applyBorder="1" applyAlignment="1">
      <alignment vertical="top" wrapText="1"/>
    </xf>
    <xf numFmtId="0" fontId="107" fillId="4" borderId="20" xfId="0" applyFont="1" applyFill="1" applyBorder="1" applyAlignment="1">
      <alignment vertical="top" wrapText="1"/>
    </xf>
    <xf numFmtId="0" fontId="107" fillId="4" borderId="21" xfId="0" applyFont="1" applyFill="1" applyBorder="1" applyAlignment="1">
      <alignment vertical="top" wrapText="1"/>
    </xf>
    <xf numFmtId="0" fontId="112" fillId="4" borderId="17" xfId="0" applyFont="1" applyFill="1" applyBorder="1" applyAlignment="1">
      <alignment vertical="top" wrapText="1"/>
    </xf>
    <xf numFmtId="0" fontId="88" fillId="4" borderId="11" xfId="0" applyFont="1" applyFill="1" applyBorder="1" applyAlignment="1">
      <alignment vertical="top" wrapText="1"/>
    </xf>
    <xf numFmtId="0" fontId="88" fillId="4" borderId="12" xfId="0" applyFont="1" applyFill="1" applyBorder="1" applyAlignment="1">
      <alignment vertical="top" wrapText="1"/>
    </xf>
    <xf numFmtId="0" fontId="88" fillId="4" borderId="13" xfId="0" applyFont="1" applyFill="1" applyBorder="1" applyAlignment="1">
      <alignment vertical="top" wrapText="1"/>
    </xf>
    <xf numFmtId="0" fontId="88" fillId="4" borderId="14" xfId="0" applyFont="1" applyFill="1" applyBorder="1" applyAlignment="1">
      <alignment vertical="top" wrapText="1"/>
    </xf>
    <xf numFmtId="0" fontId="88" fillId="4" borderId="15" xfId="0" applyFont="1" applyFill="1" applyBorder="1" applyAlignment="1">
      <alignment vertical="top" wrapText="1"/>
    </xf>
    <xf numFmtId="0" fontId="88" fillId="4" borderId="32" xfId="0" applyFont="1" applyFill="1" applyBorder="1" applyAlignment="1">
      <alignment vertical="top" wrapText="1"/>
    </xf>
    <xf numFmtId="0" fontId="88" fillId="4" borderId="24" xfId="0" applyFont="1" applyFill="1" applyBorder="1" applyAlignment="1">
      <alignment vertical="top" wrapText="1"/>
    </xf>
    <xf numFmtId="0" fontId="88" fillId="4" borderId="33" xfId="0" applyFont="1" applyFill="1" applyBorder="1" applyAlignment="1">
      <alignment vertical="top" wrapText="1"/>
    </xf>
    <xf numFmtId="0" fontId="88" fillId="4" borderId="34" xfId="0" applyFont="1" applyFill="1" applyBorder="1" applyAlignment="1">
      <alignment vertical="top" wrapText="1"/>
    </xf>
    <xf numFmtId="0" fontId="101" fillId="3" borderId="0" xfId="0" applyFont="1" applyFill="1" applyBorder="1" applyAlignment="1">
      <alignment horizontal="left" vertical="top" wrapText="1"/>
    </xf>
    <xf numFmtId="49" fontId="101" fillId="3" borderId="0" xfId="0" applyNumberFormat="1" applyFont="1" applyFill="1" applyBorder="1" applyAlignment="1">
      <alignment horizontal="left" vertical="top" wrapText="1"/>
    </xf>
    <xf numFmtId="0" fontId="3" fillId="11" borderId="0" xfId="4" applyFont="1" applyFill="1" applyAlignment="1" applyProtection="1">
      <alignment horizontal="center" vertical="center" wrapText="1"/>
    </xf>
    <xf numFmtId="0" fontId="101" fillId="4" borderId="0" xfId="0" applyFont="1" applyFill="1" applyAlignment="1">
      <alignment horizontal="center"/>
    </xf>
    <xf numFmtId="0" fontId="102" fillId="23" borderId="47" xfId="0" applyFont="1" applyFill="1" applyBorder="1" applyAlignment="1">
      <alignment horizontal="center" vertical="center" wrapText="1"/>
    </xf>
    <xf numFmtId="0" fontId="102" fillId="23" borderId="48" xfId="0" applyFont="1" applyFill="1" applyBorder="1" applyAlignment="1">
      <alignment horizontal="center" vertical="center" wrapText="1"/>
    </xf>
    <xf numFmtId="0" fontId="102" fillId="23" borderId="49" xfId="0" applyFont="1" applyFill="1" applyBorder="1" applyAlignment="1">
      <alignment horizontal="center" vertical="center" wrapText="1"/>
    </xf>
    <xf numFmtId="0" fontId="102" fillId="27" borderId="47" xfId="0" applyFont="1" applyFill="1" applyBorder="1" applyAlignment="1">
      <alignment horizontal="center" vertical="center" wrapText="1"/>
    </xf>
    <xf numFmtId="0" fontId="102" fillId="27" borderId="48" xfId="0" applyFont="1" applyFill="1" applyBorder="1" applyAlignment="1">
      <alignment horizontal="center" vertical="center" wrapText="1"/>
    </xf>
    <xf numFmtId="0" fontId="102" fillId="27" borderId="49" xfId="0" applyFont="1" applyFill="1" applyBorder="1" applyAlignment="1">
      <alignment horizontal="center" vertical="center" wrapText="1"/>
    </xf>
    <xf numFmtId="0" fontId="97" fillId="22" borderId="47" xfId="0" applyFont="1" applyFill="1" applyBorder="1" applyAlignment="1">
      <alignment horizontal="center" vertical="center" wrapText="1"/>
    </xf>
    <xf numFmtId="0" fontId="97" fillId="22" borderId="48" xfId="0" applyFont="1" applyFill="1" applyBorder="1" applyAlignment="1">
      <alignment horizontal="center" vertical="center" wrapText="1"/>
    </xf>
    <xf numFmtId="0" fontId="97" fillId="22" borderId="49" xfId="0" applyFont="1" applyFill="1" applyBorder="1" applyAlignment="1">
      <alignment horizontal="center" vertical="center" wrapText="1"/>
    </xf>
    <xf numFmtId="0" fontId="97" fillId="19" borderId="50" xfId="0" applyFont="1" applyFill="1" applyBorder="1" applyAlignment="1">
      <alignment horizontal="center" vertical="center" wrapText="1"/>
    </xf>
    <xf numFmtId="0" fontId="97" fillId="19" borderId="51" xfId="0" applyFont="1" applyFill="1" applyBorder="1" applyAlignment="1">
      <alignment horizontal="center" vertical="center" wrapText="1"/>
    </xf>
    <xf numFmtId="0" fontId="97" fillId="19" borderId="52" xfId="0" applyFont="1" applyFill="1" applyBorder="1" applyAlignment="1">
      <alignment horizontal="center" vertical="center" wrapText="1"/>
    </xf>
    <xf numFmtId="0" fontId="85" fillId="4" borderId="0" xfId="0" applyFont="1" applyFill="1" applyAlignment="1">
      <alignment horizontal="right"/>
    </xf>
    <xf numFmtId="0" fontId="86" fillId="4" borderId="0" xfId="0" applyFont="1" applyFill="1" applyAlignment="1">
      <alignment horizontal="left"/>
    </xf>
    <xf numFmtId="0" fontId="88" fillId="4" borderId="10" xfId="0" applyFont="1" applyFill="1" applyBorder="1" applyAlignment="1">
      <alignment horizontal="center" vertical="top" wrapText="1"/>
    </xf>
    <xf numFmtId="0" fontId="89" fillId="4" borderId="7" xfId="0" applyFont="1" applyFill="1" applyBorder="1" applyAlignment="1">
      <alignment horizontal="center" vertical="top" wrapText="1"/>
    </xf>
    <xf numFmtId="0" fontId="88" fillId="0" borderId="11" xfId="0" applyFont="1" applyFill="1" applyBorder="1" applyAlignment="1">
      <alignment horizontal="center" vertical="top" wrapText="1"/>
    </xf>
    <xf numFmtId="0" fontId="88" fillId="0" borderId="12" xfId="0" applyFont="1" applyFill="1" applyBorder="1" applyAlignment="1">
      <alignment horizontal="center" vertical="top" wrapText="1"/>
    </xf>
    <xf numFmtId="0" fontId="88" fillId="0" borderId="13" xfId="0" applyFont="1" applyFill="1" applyBorder="1" applyAlignment="1">
      <alignment horizontal="center" vertical="top" wrapText="1"/>
    </xf>
    <xf numFmtId="0" fontId="88" fillId="4" borderId="14" xfId="0" applyFont="1" applyFill="1" applyBorder="1" applyAlignment="1">
      <alignment horizontal="center" vertical="top" wrapText="1"/>
    </xf>
    <xf numFmtId="0" fontId="88" fillId="4" borderId="31" xfId="0" applyFont="1" applyFill="1" applyBorder="1" applyAlignment="1">
      <alignment horizontal="center" vertical="top" wrapText="1"/>
    </xf>
    <xf numFmtId="0" fontId="88" fillId="4" borderId="15" xfId="0" applyFont="1" applyFill="1" applyBorder="1" applyAlignment="1">
      <alignment horizontal="center" vertical="top" wrapText="1"/>
    </xf>
    <xf numFmtId="0" fontId="88" fillId="4" borderId="32" xfId="0" applyFont="1" applyFill="1" applyBorder="1" applyAlignment="1">
      <alignment horizontal="center" vertical="top" wrapText="1"/>
    </xf>
    <xf numFmtId="0" fontId="88" fillId="4" borderId="0" xfId="0" applyFont="1" applyFill="1" applyBorder="1" applyAlignment="1">
      <alignment horizontal="center" vertical="top" wrapText="1"/>
    </xf>
    <xf numFmtId="0" fontId="88" fillId="4" borderId="24" xfId="0" applyFont="1" applyFill="1" applyBorder="1" applyAlignment="1">
      <alignment horizontal="center" vertical="top" wrapText="1"/>
    </xf>
    <xf numFmtId="0" fontId="88" fillId="4" borderId="33" xfId="0" applyFont="1" applyFill="1" applyBorder="1" applyAlignment="1">
      <alignment horizontal="center" vertical="top" wrapText="1"/>
    </xf>
    <xf numFmtId="0" fontId="88" fillId="4" borderId="16" xfId="0" applyFont="1" applyFill="1" applyBorder="1" applyAlignment="1">
      <alignment horizontal="center" vertical="top" wrapText="1"/>
    </xf>
    <xf numFmtId="0" fontId="88" fillId="4" borderId="34" xfId="0" applyFont="1" applyFill="1" applyBorder="1" applyAlignment="1">
      <alignment horizontal="center" vertical="top" wrapText="1"/>
    </xf>
    <xf numFmtId="0" fontId="88" fillId="4" borderId="7" xfId="0" applyFont="1" applyFill="1" applyBorder="1" applyAlignment="1">
      <alignment horizontal="center" vertical="top" wrapText="1"/>
    </xf>
    <xf numFmtId="0" fontId="88" fillId="4" borderId="11" xfId="0" applyFont="1" applyFill="1" applyBorder="1" applyAlignment="1">
      <alignment horizontal="center" vertical="top" wrapText="1"/>
    </xf>
    <xf numFmtId="0" fontId="88" fillId="4" borderId="12" xfId="0" applyFont="1" applyFill="1" applyBorder="1" applyAlignment="1">
      <alignment horizontal="center" vertical="top" wrapText="1"/>
    </xf>
    <xf numFmtId="0" fontId="88" fillId="4" borderId="13" xfId="0" applyFont="1" applyFill="1" applyBorder="1" applyAlignment="1">
      <alignment horizontal="center" vertical="top" wrapText="1"/>
    </xf>
    <xf numFmtId="0" fontId="113" fillId="4" borderId="17" xfId="0" applyFont="1" applyFill="1" applyBorder="1" applyAlignment="1">
      <alignment horizontal="center" vertical="top" wrapText="1"/>
    </xf>
    <xf numFmtId="0" fontId="113" fillId="4" borderId="20" xfId="0" applyFont="1" applyFill="1" applyBorder="1" applyAlignment="1">
      <alignment horizontal="center" vertical="top" wrapText="1"/>
    </xf>
    <xf numFmtId="0" fontId="113" fillId="4" borderId="21" xfId="0" applyFont="1" applyFill="1" applyBorder="1" applyAlignment="1">
      <alignment horizontal="center" vertical="top" wrapText="1"/>
    </xf>
    <xf numFmtId="0" fontId="19" fillId="4" borderId="16" xfId="0" applyFont="1" applyFill="1" applyBorder="1" applyAlignment="1">
      <alignment horizontal="left" vertical="center"/>
    </xf>
    <xf numFmtId="0" fontId="92" fillId="23" borderId="11" xfId="0" applyFont="1" applyFill="1" applyBorder="1" applyAlignment="1">
      <alignment horizontal="center" vertical="center" wrapText="1"/>
    </xf>
    <xf numFmtId="0" fontId="92" fillId="23" borderId="12" xfId="0" applyFont="1" applyFill="1" applyBorder="1" applyAlignment="1">
      <alignment horizontal="center" vertical="center" wrapText="1"/>
    </xf>
    <xf numFmtId="0" fontId="92" fillId="23" borderId="7" xfId="0" applyFont="1" applyFill="1" applyBorder="1" applyAlignment="1">
      <alignment horizontal="center" vertical="center" wrapText="1"/>
    </xf>
    <xf numFmtId="0" fontId="92" fillId="23" borderId="14" xfId="0" applyFont="1" applyFill="1" applyBorder="1" applyAlignment="1">
      <alignment horizontal="center" vertical="center" wrapText="1"/>
    </xf>
    <xf numFmtId="0" fontId="92" fillId="23" borderId="15" xfId="0" applyFont="1" applyFill="1" applyBorder="1" applyAlignment="1">
      <alignment horizontal="center" vertical="center" wrapText="1"/>
    </xf>
    <xf numFmtId="0" fontId="91" fillId="23" borderId="32" xfId="0" applyFont="1" applyFill="1" applyBorder="1" applyAlignment="1">
      <alignment horizontal="center" vertical="center"/>
    </xf>
    <xf numFmtId="0" fontId="91" fillId="23" borderId="0" xfId="0" applyFont="1" applyFill="1" applyBorder="1" applyAlignment="1">
      <alignment horizontal="center" vertical="center"/>
    </xf>
    <xf numFmtId="9" fontId="115" fillId="4" borderId="7" xfId="0" applyNumberFormat="1" applyFont="1" applyFill="1" applyBorder="1" applyAlignment="1">
      <alignment horizontal="center" vertical="top" wrapText="1"/>
    </xf>
    <xf numFmtId="0" fontId="115" fillId="4" borderId="7" xfId="0" applyFont="1" applyFill="1" applyBorder="1" applyAlignment="1">
      <alignment horizontal="center" vertical="top" wrapText="1"/>
    </xf>
    <xf numFmtId="0" fontId="101" fillId="4" borderId="11" xfId="0" applyFont="1" applyFill="1" applyBorder="1" applyAlignment="1">
      <alignment horizontal="center" vertical="center" wrapText="1"/>
    </xf>
    <xf numFmtId="0" fontId="101" fillId="4" borderId="12" xfId="0" applyFont="1" applyFill="1" applyBorder="1" applyAlignment="1">
      <alignment horizontal="center" vertical="center" wrapText="1"/>
    </xf>
    <xf numFmtId="0" fontId="101" fillId="4" borderId="13" xfId="0" applyFont="1" applyFill="1" applyBorder="1" applyAlignment="1">
      <alignment horizontal="center" vertical="center" wrapText="1"/>
    </xf>
    <xf numFmtId="0" fontId="92" fillId="27" borderId="11" xfId="0" applyFont="1" applyFill="1" applyBorder="1" applyAlignment="1">
      <alignment horizontal="center" vertical="center" wrapText="1"/>
    </xf>
    <xf numFmtId="0" fontId="92" fillId="27" borderId="12" xfId="0" applyFont="1" applyFill="1" applyBorder="1" applyAlignment="1">
      <alignment horizontal="center" vertical="center" wrapText="1"/>
    </xf>
    <xf numFmtId="0" fontId="90" fillId="0" borderId="11" xfId="0" applyFont="1" applyFill="1" applyBorder="1" applyAlignment="1">
      <alignment horizontal="center" vertical="top" wrapText="1"/>
    </xf>
    <xf numFmtId="0" fontId="90" fillId="0" borderId="12" xfId="0" applyFont="1" applyFill="1" applyBorder="1" applyAlignment="1">
      <alignment horizontal="center" vertical="top" wrapText="1"/>
    </xf>
    <xf numFmtId="0" fontId="90" fillId="0" borderId="13" xfId="0" applyFont="1" applyFill="1" applyBorder="1" applyAlignment="1">
      <alignment horizontal="center" vertical="top" wrapText="1"/>
    </xf>
    <xf numFmtId="0" fontId="104" fillId="0" borderId="7" xfId="4" applyFont="1" applyFill="1" applyBorder="1" applyAlignment="1" applyProtection="1">
      <alignment horizontal="justify" vertical="top" wrapText="1"/>
    </xf>
    <xf numFmtId="0" fontId="88" fillId="0" borderId="7" xfId="0" applyFont="1" applyFill="1" applyBorder="1" applyAlignment="1">
      <alignment horizontal="center" vertical="top" wrapText="1"/>
    </xf>
    <xf numFmtId="0" fontId="88" fillId="0" borderId="7" xfId="0" applyFont="1" applyFill="1" applyBorder="1" applyAlignment="1">
      <alignment horizontal="center" vertical="top"/>
    </xf>
    <xf numFmtId="0" fontId="108" fillId="4" borderId="17" xfId="0" applyFont="1" applyFill="1" applyBorder="1" applyAlignment="1">
      <alignment horizontal="center" vertical="top" wrapText="1"/>
    </xf>
    <xf numFmtId="0" fontId="108" fillId="4" borderId="20" xfId="0" applyFont="1" applyFill="1" applyBorder="1" applyAlignment="1">
      <alignment horizontal="center" vertical="top" wrapText="1"/>
    </xf>
    <xf numFmtId="0" fontId="108" fillId="4" borderId="21" xfId="0" applyFont="1" applyFill="1" applyBorder="1" applyAlignment="1">
      <alignment horizontal="center" vertical="top" wrapText="1"/>
    </xf>
    <xf numFmtId="0" fontId="92" fillId="27" borderId="7" xfId="0" applyFont="1" applyFill="1" applyBorder="1" applyAlignment="1">
      <alignment horizontal="center" vertical="center" wrapText="1"/>
    </xf>
    <xf numFmtId="0" fontId="92" fillId="27" borderId="14" xfId="0" applyFont="1" applyFill="1" applyBorder="1" applyAlignment="1">
      <alignment horizontal="center" vertical="center" wrapText="1"/>
    </xf>
    <xf numFmtId="0" fontId="92" fillId="27" borderId="15" xfId="0" applyFont="1" applyFill="1" applyBorder="1" applyAlignment="1">
      <alignment horizontal="center" vertical="center" wrapText="1"/>
    </xf>
    <xf numFmtId="0" fontId="88" fillId="0" borderId="10" xfId="0" applyFont="1" applyFill="1" applyBorder="1" applyAlignment="1">
      <alignment horizontal="center" vertical="top" wrapText="1"/>
    </xf>
    <xf numFmtId="0" fontId="88" fillId="0" borderId="8" xfId="0" applyFont="1" applyFill="1" applyBorder="1" applyAlignment="1">
      <alignment horizontal="center" vertical="top" wrapText="1"/>
    </xf>
    <xf numFmtId="0" fontId="86" fillId="0" borderId="7" xfId="0" applyFont="1" applyFill="1" applyBorder="1" applyAlignment="1">
      <alignment horizontal="center" vertical="top" wrapText="1"/>
    </xf>
    <xf numFmtId="0" fontId="90" fillId="0" borderId="7" xfId="0" applyFont="1" applyFill="1" applyBorder="1" applyAlignment="1">
      <alignment horizontal="center" vertical="top" wrapText="1"/>
    </xf>
    <xf numFmtId="0" fontId="1" fillId="0" borderId="7" xfId="0" applyFont="1" applyFill="1" applyBorder="1" applyAlignment="1">
      <alignment horizontal="center" vertical="top" wrapText="1"/>
    </xf>
    <xf numFmtId="0" fontId="86" fillId="0" borderId="13" xfId="0" applyFont="1" applyFill="1" applyBorder="1" applyAlignment="1">
      <alignment horizontal="center" vertical="top" wrapText="1"/>
    </xf>
    <xf numFmtId="9" fontId="101" fillId="0" borderId="14" xfId="22" applyFont="1" applyFill="1" applyBorder="1" applyAlignment="1">
      <alignment horizontal="center" vertical="top" wrapText="1"/>
    </xf>
    <xf numFmtId="9" fontId="101" fillId="0" borderId="32" xfId="22" applyFont="1" applyFill="1" applyBorder="1" applyAlignment="1">
      <alignment horizontal="center" vertical="top" wrapText="1"/>
    </xf>
    <xf numFmtId="9" fontId="101" fillId="0" borderId="33" xfId="22" applyFont="1" applyFill="1" applyBorder="1" applyAlignment="1">
      <alignment horizontal="center" vertical="top" wrapText="1"/>
    </xf>
    <xf numFmtId="0" fontId="91" fillId="27" borderId="32" xfId="0" applyFont="1" applyFill="1" applyBorder="1" applyAlignment="1">
      <alignment horizontal="center" vertical="center"/>
    </xf>
    <xf numFmtId="0" fontId="91" fillId="27" borderId="0" xfId="0" applyFont="1" applyFill="1" applyBorder="1" applyAlignment="1">
      <alignment horizontal="center" vertical="center"/>
    </xf>
    <xf numFmtId="9" fontId="115" fillId="0" borderId="7" xfId="0" applyNumberFormat="1" applyFont="1" applyFill="1" applyBorder="1" applyAlignment="1">
      <alignment horizontal="center" vertical="top" wrapText="1"/>
    </xf>
    <xf numFmtId="0" fontId="115" fillId="0" borderId="7" xfId="0" applyFont="1" applyFill="1" applyBorder="1" applyAlignment="1">
      <alignment horizontal="center" vertical="top" wrapText="1"/>
    </xf>
    <xf numFmtId="166" fontId="101" fillId="0" borderId="14" xfId="22" applyNumberFormat="1" applyFont="1" applyFill="1" applyBorder="1" applyAlignment="1">
      <alignment horizontal="center" vertical="top" wrapText="1"/>
    </xf>
    <xf numFmtId="166" fontId="101" fillId="0" borderId="32" xfId="22" applyNumberFormat="1" applyFont="1" applyFill="1" applyBorder="1" applyAlignment="1">
      <alignment horizontal="center" vertical="top" wrapText="1"/>
    </xf>
    <xf numFmtId="166" fontId="101" fillId="0" borderId="33" xfId="22" applyNumberFormat="1" applyFont="1" applyFill="1" applyBorder="1" applyAlignment="1">
      <alignment horizontal="center" vertical="top" wrapText="1"/>
    </xf>
    <xf numFmtId="0" fontId="104" fillId="4" borderId="7" xfId="4" applyFont="1" applyFill="1" applyBorder="1" applyAlignment="1" applyProtection="1">
      <alignment horizontal="justify" vertical="top" wrapText="1"/>
    </xf>
    <xf numFmtId="0" fontId="1" fillId="4" borderId="7" xfId="0" applyFont="1" applyFill="1" applyBorder="1" applyAlignment="1">
      <alignment horizontal="center" vertical="top" wrapText="1"/>
    </xf>
    <xf numFmtId="0" fontId="86" fillId="4" borderId="7" xfId="0" applyFont="1" applyFill="1" applyBorder="1" applyAlignment="1">
      <alignment horizontal="center" vertical="top" wrapText="1"/>
    </xf>
    <xf numFmtId="9" fontId="108" fillId="4" borderId="11" xfId="0" applyNumberFormat="1" applyFont="1" applyFill="1" applyBorder="1" applyAlignment="1">
      <alignment horizontal="center" vertical="top" wrapText="1"/>
    </xf>
    <xf numFmtId="0" fontId="108" fillId="4" borderId="12" xfId="0" applyFont="1" applyFill="1" applyBorder="1" applyAlignment="1">
      <alignment horizontal="center" vertical="top" wrapText="1"/>
    </xf>
    <xf numFmtId="0" fontId="108" fillId="4" borderId="13" xfId="0" applyFont="1" applyFill="1" applyBorder="1" applyAlignment="1">
      <alignment horizontal="center" vertical="top" wrapText="1"/>
    </xf>
    <xf numFmtId="0" fontId="88" fillId="4" borderId="8" xfId="0" applyFont="1" applyFill="1" applyBorder="1" applyAlignment="1">
      <alignment horizontal="center" vertical="top" wrapText="1"/>
    </xf>
    <xf numFmtId="0" fontId="89" fillId="4" borderId="7" xfId="2" applyFont="1" applyFill="1" applyBorder="1" applyAlignment="1">
      <alignment horizontal="center" vertical="top" wrapText="1"/>
      <protection locked="0"/>
    </xf>
    <xf numFmtId="0" fontId="112" fillId="4" borderId="17" xfId="0" applyFont="1" applyFill="1" applyBorder="1" applyAlignment="1">
      <alignment horizontal="center" vertical="top" wrapText="1"/>
    </xf>
    <xf numFmtId="0" fontId="88" fillId="4" borderId="7" xfId="0" applyFont="1" applyFill="1" applyBorder="1" applyAlignment="1">
      <alignment horizontal="center" vertical="top"/>
    </xf>
    <xf numFmtId="0" fontId="92" fillId="24" borderId="11" xfId="0" applyFont="1" applyFill="1" applyBorder="1" applyAlignment="1">
      <alignment horizontal="center" vertical="center" wrapText="1"/>
    </xf>
    <xf numFmtId="0" fontId="92" fillId="24" borderId="12" xfId="0" applyFont="1" applyFill="1" applyBorder="1" applyAlignment="1">
      <alignment horizontal="center" vertical="center" wrapText="1"/>
    </xf>
    <xf numFmtId="0" fontId="92" fillId="24" borderId="7" xfId="0" applyFont="1" applyFill="1" applyBorder="1" applyAlignment="1">
      <alignment horizontal="center" vertical="center" wrapText="1"/>
    </xf>
    <xf numFmtId="0" fontId="105" fillId="24" borderId="32" xfId="0" applyFont="1" applyFill="1" applyBorder="1" applyAlignment="1">
      <alignment horizontal="center" vertical="center"/>
    </xf>
    <xf numFmtId="0" fontId="105" fillId="24" borderId="0" xfId="0" applyFont="1" applyFill="1" applyBorder="1" applyAlignment="1">
      <alignment horizontal="center" vertical="center"/>
    </xf>
    <xf numFmtId="0" fontId="92" fillId="24" borderId="14" xfId="0" applyFont="1" applyFill="1" applyBorder="1" applyAlignment="1">
      <alignment horizontal="center" vertical="center" wrapText="1"/>
    </xf>
    <xf numFmtId="0" fontId="92" fillId="24" borderId="15" xfId="0" applyFont="1" applyFill="1" applyBorder="1" applyAlignment="1">
      <alignment horizontal="center" vertical="center" wrapText="1"/>
    </xf>
    <xf numFmtId="9" fontId="98" fillId="0" borderId="8" xfId="15" applyFont="1" applyFill="1" applyBorder="1" applyAlignment="1" applyProtection="1">
      <alignment horizontal="left" vertical="top" wrapText="1"/>
    </xf>
    <xf numFmtId="9" fontId="98" fillId="0" borderId="9" xfId="15" applyFont="1" applyFill="1" applyBorder="1" applyAlignment="1" applyProtection="1">
      <alignment horizontal="left" vertical="top" wrapText="1"/>
    </xf>
    <xf numFmtId="9" fontId="98" fillId="0" borderId="10" xfId="15" applyFont="1" applyFill="1" applyBorder="1" applyAlignment="1" applyProtection="1">
      <alignment horizontal="left" vertical="top" wrapText="1"/>
    </xf>
    <xf numFmtId="0" fontId="11" fillId="4" borderId="53" xfId="0" applyFont="1" applyFill="1" applyBorder="1" applyAlignment="1">
      <alignment horizontal="left" wrapText="1"/>
    </xf>
    <xf numFmtId="0" fontId="11" fillId="4" borderId="54" xfId="0" applyFont="1" applyFill="1" applyBorder="1" applyAlignment="1">
      <alignment horizontal="left" wrapText="1"/>
    </xf>
    <xf numFmtId="0" fontId="11" fillId="4" borderId="55" xfId="0" applyFont="1" applyFill="1" applyBorder="1" applyAlignment="1">
      <alignment horizontal="left" wrapText="1"/>
    </xf>
    <xf numFmtId="0" fontId="103" fillId="26" borderId="8" xfId="4" applyFont="1" applyFill="1" applyBorder="1" applyAlignment="1" applyProtection="1">
      <alignment horizontal="center" vertical="center"/>
    </xf>
    <xf numFmtId="0" fontId="103" fillId="26" borderId="9" xfId="4" applyFont="1" applyFill="1" applyBorder="1" applyAlignment="1" applyProtection="1">
      <alignment horizontal="center" vertical="center"/>
    </xf>
    <xf numFmtId="0" fontId="99" fillId="4" borderId="7" xfId="0" applyFont="1" applyFill="1" applyBorder="1" applyAlignment="1">
      <alignment horizontal="center" vertical="center" wrapText="1"/>
    </xf>
    <xf numFmtId="0" fontId="42" fillId="15" borderId="8" xfId="8" applyFont="1" applyFill="1" applyBorder="1" applyAlignment="1">
      <alignment horizontal="center" vertical="center" wrapText="1"/>
    </xf>
    <xf numFmtId="0" fontId="42" fillId="15" borderId="9" xfId="8" applyFont="1" applyFill="1" applyBorder="1" applyAlignment="1">
      <alignment horizontal="center" vertical="center" wrapText="1"/>
    </xf>
    <xf numFmtId="0" fontId="42" fillId="15" borderId="10" xfId="8" applyFont="1" applyFill="1" applyBorder="1" applyAlignment="1">
      <alignment horizontal="center" vertical="center" wrapText="1"/>
    </xf>
    <xf numFmtId="9" fontId="98" fillId="0" borderId="8" xfId="15" quotePrefix="1" applyFont="1" applyFill="1" applyBorder="1" applyAlignment="1" applyProtection="1">
      <alignment horizontal="left" vertical="top" wrapText="1"/>
    </xf>
    <xf numFmtId="0" fontId="89" fillId="4" borderId="7" xfId="0" applyFont="1" applyFill="1" applyBorder="1" applyAlignment="1">
      <alignment horizontal="center" vertical="top"/>
    </xf>
    <xf numFmtId="9" fontId="112" fillId="4" borderId="11" xfId="0" applyNumberFormat="1" applyFont="1" applyFill="1" applyBorder="1" applyAlignment="1">
      <alignment horizontal="center" vertical="top" wrapText="1"/>
    </xf>
    <xf numFmtId="0" fontId="89" fillId="0" borderId="7" xfId="0" applyFont="1" applyFill="1" applyBorder="1" applyAlignment="1">
      <alignment horizontal="center" vertical="top"/>
    </xf>
    <xf numFmtId="0" fontId="112" fillId="4" borderId="11" xfId="0" applyFont="1" applyFill="1" applyBorder="1" applyAlignment="1">
      <alignment horizontal="center" vertical="top" wrapText="1"/>
    </xf>
    <xf numFmtId="0" fontId="108" fillId="4" borderId="7" xfId="0" applyFont="1" applyFill="1" applyBorder="1" applyAlignment="1">
      <alignment horizontal="center" vertical="top" wrapText="1"/>
    </xf>
    <xf numFmtId="0" fontId="91" fillId="24" borderId="32" xfId="0" applyFont="1" applyFill="1" applyBorder="1" applyAlignment="1">
      <alignment horizontal="center" vertical="center"/>
    </xf>
    <xf numFmtId="0" fontId="91" fillId="24" borderId="0" xfId="0" applyFont="1" applyFill="1" applyBorder="1" applyAlignment="1">
      <alignment horizontal="center" vertical="center"/>
    </xf>
    <xf numFmtId="9" fontId="115" fillId="0" borderId="11" xfId="0" applyNumberFormat="1" applyFont="1" applyFill="1" applyBorder="1" applyAlignment="1">
      <alignment horizontal="center" vertical="top" wrapText="1"/>
    </xf>
    <xf numFmtId="9" fontId="115" fillId="0" borderId="12" xfId="0" applyNumberFormat="1" applyFont="1" applyFill="1" applyBorder="1" applyAlignment="1">
      <alignment horizontal="center" vertical="top" wrapText="1"/>
    </xf>
    <xf numFmtId="9" fontId="115" fillId="0" borderId="13" xfId="0" applyNumberFormat="1" applyFont="1" applyFill="1" applyBorder="1" applyAlignment="1">
      <alignment horizontal="center" vertical="top" wrapText="1"/>
    </xf>
    <xf numFmtId="1" fontId="115" fillId="0" borderId="7" xfId="0" applyNumberFormat="1" applyFont="1" applyFill="1" applyBorder="1" applyAlignment="1">
      <alignment horizontal="center" vertical="top" wrapText="1"/>
    </xf>
    <xf numFmtId="0" fontId="89" fillId="0" borderId="7" xfId="0" applyFont="1" applyFill="1" applyBorder="1" applyAlignment="1">
      <alignment horizontal="center" vertical="top" wrapText="1"/>
    </xf>
    <xf numFmtId="0" fontId="11" fillId="4" borderId="7" xfId="0" applyFont="1" applyFill="1" applyBorder="1" applyAlignment="1">
      <alignment horizontal="center" vertical="top" wrapText="1"/>
    </xf>
    <xf numFmtId="0" fontId="10" fillId="6" borderId="8" xfId="0" applyFont="1" applyFill="1" applyBorder="1" applyAlignment="1">
      <alignment horizontal="center" vertical="center"/>
    </xf>
    <xf numFmtId="0" fontId="10" fillId="6" borderId="9" xfId="0" applyFont="1" applyFill="1" applyBorder="1" applyAlignment="1">
      <alignment horizontal="center" vertical="center"/>
    </xf>
    <xf numFmtId="0" fontId="10" fillId="6" borderId="10" xfId="0" applyFont="1" applyFill="1" applyBorder="1" applyAlignment="1">
      <alignment horizontal="center" vertical="center"/>
    </xf>
    <xf numFmtId="0" fontId="13" fillId="6" borderId="7"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12"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3" fillId="4" borderId="7" xfId="4" applyFill="1" applyBorder="1" applyAlignment="1" applyProtection="1">
      <alignment horizontal="center" vertical="top" wrapText="1"/>
    </xf>
    <xf numFmtId="0" fontId="14" fillId="4" borderId="7" xfId="0" applyFont="1" applyFill="1" applyBorder="1" applyAlignment="1">
      <alignment horizontal="center" vertical="top" wrapText="1"/>
    </xf>
    <xf numFmtId="0" fontId="14" fillId="4" borderId="7" xfId="0" applyFont="1" applyFill="1" applyBorder="1" applyAlignment="1">
      <alignment horizontal="center" vertical="top"/>
    </xf>
    <xf numFmtId="9" fontId="14" fillId="0" borderId="17" xfId="0" applyNumberFormat="1" applyFont="1" applyFill="1" applyBorder="1" applyAlignment="1">
      <alignment horizontal="center" vertical="top" wrapText="1"/>
    </xf>
    <xf numFmtId="9" fontId="14" fillId="0" borderId="20" xfId="0" applyNumberFormat="1" applyFont="1" applyFill="1" applyBorder="1" applyAlignment="1">
      <alignment horizontal="center" vertical="top" wrapText="1"/>
    </xf>
    <xf numFmtId="9" fontId="14" fillId="0" borderId="21" xfId="0" applyNumberFormat="1" applyFont="1" applyFill="1" applyBorder="1" applyAlignment="1">
      <alignment horizontal="center" vertical="top" wrapText="1"/>
    </xf>
    <xf numFmtId="0" fontId="11" fillId="4" borderId="7" xfId="0" applyFont="1" applyFill="1" applyBorder="1" applyAlignment="1">
      <alignment horizontal="center" vertical="top"/>
    </xf>
    <xf numFmtId="0" fontId="70" fillId="0" borderId="17" xfId="0" applyFont="1" applyFill="1" applyBorder="1" applyAlignment="1">
      <alignment horizontal="center" vertical="top" wrapText="1"/>
    </xf>
    <xf numFmtId="0" fontId="70" fillId="0" borderId="20" xfId="0" applyFont="1" applyFill="1" applyBorder="1" applyAlignment="1">
      <alignment horizontal="center" vertical="top" wrapText="1"/>
    </xf>
    <xf numFmtId="0" fontId="70" fillId="0" borderId="21" xfId="0" applyFont="1" applyFill="1" applyBorder="1" applyAlignment="1">
      <alignment horizontal="center" vertical="top" wrapText="1"/>
    </xf>
    <xf numFmtId="0" fontId="11" fillId="0" borderId="17" xfId="0" applyFont="1" applyFill="1" applyBorder="1" applyAlignment="1">
      <alignment horizontal="center" vertical="top" wrapText="1"/>
    </xf>
    <xf numFmtId="0" fontId="11" fillId="0" borderId="20" xfId="0" applyFont="1" applyFill="1" applyBorder="1" applyAlignment="1">
      <alignment horizontal="center" vertical="top" wrapText="1"/>
    </xf>
    <xf numFmtId="0" fontId="11" fillId="0" borderId="21" xfId="0" applyFont="1" applyFill="1" applyBorder="1" applyAlignment="1">
      <alignment horizontal="center" vertical="top" wrapText="1"/>
    </xf>
    <xf numFmtId="0" fontId="3" fillId="12" borderId="7" xfId="4" applyFill="1" applyBorder="1" applyAlignment="1" applyProtection="1">
      <alignment horizontal="center" vertical="top" wrapText="1"/>
    </xf>
    <xf numFmtId="0" fontId="11" fillId="0" borderId="7" xfId="0" applyFont="1" applyFill="1" applyBorder="1" applyAlignment="1">
      <alignment horizontal="center" vertical="top" wrapText="1"/>
    </xf>
    <xf numFmtId="0" fontId="22" fillId="6" borderId="8" xfId="4" applyFont="1" applyFill="1" applyBorder="1" applyAlignment="1" applyProtection="1">
      <alignment horizontal="center" vertical="center" wrapText="1"/>
    </xf>
    <xf numFmtId="0" fontId="22" fillId="6" borderId="9" xfId="4" applyFont="1" applyFill="1" applyBorder="1" applyAlignment="1" applyProtection="1">
      <alignment horizontal="center" vertical="center" wrapText="1"/>
    </xf>
    <xf numFmtId="0" fontId="22" fillId="6" borderId="10" xfId="4" applyFont="1" applyFill="1" applyBorder="1" applyAlignment="1" applyProtection="1">
      <alignment horizontal="center" vertical="center" wrapText="1"/>
    </xf>
    <xf numFmtId="0" fontId="24" fillId="4" borderId="23" xfId="0" applyFont="1" applyFill="1" applyBorder="1" applyAlignment="1">
      <alignment horizontal="left" vertical="center" wrapText="1"/>
    </xf>
    <xf numFmtId="0" fontId="24" fillId="4" borderId="0" xfId="0" applyFont="1" applyFill="1" applyBorder="1" applyAlignment="1">
      <alignment horizontal="left" vertical="center" wrapText="1"/>
    </xf>
    <xf numFmtId="0" fontId="10" fillId="6" borderId="7" xfId="0" applyFont="1" applyFill="1" applyBorder="1" applyAlignment="1">
      <alignment horizontal="center" vertical="center" wrapText="1"/>
    </xf>
    <xf numFmtId="0" fontId="10" fillId="4" borderId="7" xfId="0" applyFont="1" applyFill="1" applyBorder="1" applyAlignment="1">
      <alignment horizontal="center" vertical="top" wrapText="1"/>
    </xf>
    <xf numFmtId="0" fontId="25" fillId="4" borderId="7" xfId="0" applyFont="1" applyFill="1" applyBorder="1" applyAlignment="1">
      <alignment horizontal="justify" vertical="top" wrapText="1"/>
    </xf>
    <xf numFmtId="0" fontId="30" fillId="0" borderId="7" xfId="16" applyFont="1" applyFill="1" applyBorder="1" applyAlignment="1">
      <alignment horizontal="center" vertical="top" wrapText="1"/>
    </xf>
    <xf numFmtId="0" fontId="30" fillId="0" borderId="11" xfId="16" applyFont="1" applyFill="1" applyBorder="1" applyAlignment="1">
      <alignment horizontal="center" vertical="top" wrapText="1"/>
    </xf>
    <xf numFmtId="0" fontId="25" fillId="0" borderId="11" xfId="0" applyFont="1" applyFill="1" applyBorder="1" applyAlignment="1">
      <alignment horizontal="justify" vertical="top" wrapText="1"/>
    </xf>
    <xf numFmtId="0" fontId="30" fillId="0" borderId="13" xfId="16" applyFont="1" applyFill="1" applyBorder="1" applyAlignment="1">
      <alignment horizontal="center" vertical="top" wrapText="1"/>
    </xf>
    <xf numFmtId="0" fontId="19" fillId="0" borderId="13" xfId="0" applyFont="1" applyFill="1" applyBorder="1" applyAlignment="1">
      <alignment horizontal="justify" vertical="top" wrapText="1"/>
    </xf>
    <xf numFmtId="0" fontId="24" fillId="4" borderId="23" xfId="0" applyFont="1" applyFill="1" applyBorder="1" applyAlignment="1">
      <alignment horizontal="left" vertical="top" wrapText="1"/>
    </xf>
    <xf numFmtId="0" fontId="24" fillId="4" borderId="0" xfId="0" applyFont="1" applyFill="1" applyBorder="1" applyAlignment="1">
      <alignment horizontal="left" vertical="top" wrapText="1"/>
    </xf>
    <xf numFmtId="0" fontId="14" fillId="0" borderId="13" xfId="0" applyFont="1" applyFill="1" applyBorder="1" applyAlignment="1">
      <alignment horizontal="justify" vertical="top" wrapText="1"/>
    </xf>
    <xf numFmtId="0" fontId="25" fillId="0" borderId="7" xfId="0" applyFont="1" applyFill="1" applyBorder="1" applyAlignment="1">
      <alignment horizontal="justify" vertical="top" wrapText="1"/>
    </xf>
    <xf numFmtId="0" fontId="25" fillId="4" borderId="7" xfId="0" applyFont="1" applyFill="1" applyBorder="1" applyAlignment="1">
      <alignment horizontal="justify" vertical="top"/>
    </xf>
    <xf numFmtId="0" fontId="46" fillId="6" borderId="7" xfId="4" applyFont="1" applyFill="1" applyBorder="1" applyAlignment="1" applyProtection="1">
      <alignment horizontal="center" vertical="center" wrapText="1"/>
    </xf>
    <xf numFmtId="0" fontId="16" fillId="6" borderId="7" xfId="0" applyFont="1" applyFill="1" applyBorder="1" applyAlignment="1">
      <alignment horizontal="center" vertical="center" wrapText="1"/>
    </xf>
    <xf numFmtId="0" fontId="25" fillId="4" borderId="7" xfId="0" applyFont="1" applyFill="1" applyBorder="1" applyAlignment="1">
      <alignment horizontal="left" vertical="top" wrapText="1"/>
    </xf>
    <xf numFmtId="0" fontId="25" fillId="4" borderId="8" xfId="0" applyFont="1" applyFill="1" applyBorder="1" applyAlignment="1">
      <alignment horizontal="left" vertical="top" wrapText="1"/>
    </xf>
    <xf numFmtId="0" fontId="25" fillId="4" borderId="9" xfId="0" applyFont="1" applyFill="1" applyBorder="1" applyAlignment="1">
      <alignment horizontal="left" vertical="top" wrapText="1"/>
    </xf>
    <xf numFmtId="0" fontId="25" fillId="4" borderId="10" xfId="0" applyFont="1" applyFill="1" applyBorder="1" applyAlignment="1">
      <alignment horizontal="left" vertical="top" wrapText="1"/>
    </xf>
    <xf numFmtId="0" fontId="16" fillId="4" borderId="7" xfId="0" applyFont="1" applyFill="1" applyBorder="1" applyAlignment="1">
      <alignment horizontal="center" vertical="center" wrapText="1"/>
    </xf>
    <xf numFmtId="0" fontId="19" fillId="4" borderId="7" xfId="0" applyFont="1" applyFill="1" applyBorder="1" applyAlignment="1">
      <alignment horizontal="justify" vertical="top" wrapText="1"/>
    </xf>
    <xf numFmtId="0" fontId="19" fillId="4" borderId="7" xfId="0" applyFont="1" applyFill="1" applyBorder="1" applyAlignment="1">
      <alignment horizontal="left" vertical="top" wrapText="1"/>
    </xf>
    <xf numFmtId="0" fontId="10" fillId="4" borderId="11" xfId="0" applyFont="1" applyFill="1" applyBorder="1" applyAlignment="1">
      <alignment horizontal="center" vertical="top" wrapText="1"/>
    </xf>
    <xf numFmtId="0" fontId="10" fillId="4" borderId="12" xfId="0" applyFont="1" applyFill="1" applyBorder="1" applyAlignment="1">
      <alignment horizontal="center" vertical="top" wrapText="1"/>
    </xf>
    <xf numFmtId="0" fontId="10" fillId="4" borderId="13" xfId="0" applyFont="1" applyFill="1" applyBorder="1" applyAlignment="1">
      <alignment horizontal="center" vertical="top" wrapText="1"/>
    </xf>
    <xf numFmtId="0" fontId="11" fillId="0" borderId="11" xfId="0" applyFont="1" applyFill="1" applyBorder="1" applyAlignment="1">
      <alignment horizontal="justify" vertical="top"/>
    </xf>
    <xf numFmtId="0" fontId="11" fillId="0" borderId="14" xfId="0" applyFont="1" applyFill="1" applyBorder="1" applyAlignment="1">
      <alignment horizontal="justify" vertical="top"/>
    </xf>
    <xf numFmtId="0" fontId="57" fillId="6" borderId="0" xfId="0" applyFont="1" applyFill="1" applyAlignment="1">
      <alignment horizontal="center" vertical="top"/>
    </xf>
    <xf numFmtId="0" fontId="32" fillId="0" borderId="3" xfId="0" applyFont="1" applyBorder="1" applyAlignment="1">
      <alignment horizontal="left" vertical="top" wrapText="1"/>
    </xf>
    <xf numFmtId="0" fontId="65" fillId="0" borderId="3" xfId="0" applyFont="1" applyBorder="1" applyAlignment="1">
      <alignment horizontal="center" vertical="center" wrapText="1"/>
    </xf>
    <xf numFmtId="0" fontId="56" fillId="19" borderId="41" xfId="0" applyFont="1" applyFill="1" applyBorder="1" applyAlignment="1">
      <alignment horizontal="left" vertical="top" wrapText="1"/>
    </xf>
    <xf numFmtId="0" fontId="56" fillId="19" borderId="43" xfId="0" applyFont="1" applyFill="1" applyBorder="1" applyAlignment="1">
      <alignment horizontal="left" vertical="top" wrapText="1"/>
    </xf>
    <xf numFmtId="0" fontId="56" fillId="19" borderId="46" xfId="0" applyFont="1" applyFill="1" applyBorder="1" applyAlignment="1">
      <alignment horizontal="left" vertical="top" wrapText="1"/>
    </xf>
    <xf numFmtId="0" fontId="56" fillId="19" borderId="3" xfId="0" applyFont="1" applyFill="1" applyBorder="1" applyAlignment="1">
      <alignment horizontal="left" vertical="top" wrapText="1"/>
    </xf>
    <xf numFmtId="0" fontId="32" fillId="0" borderId="41" xfId="0" applyFont="1" applyBorder="1" applyAlignment="1">
      <alignment horizontal="left" vertical="top" wrapText="1"/>
    </xf>
    <xf numFmtId="0" fontId="32" fillId="0" borderId="43" xfId="0" applyFont="1" applyBorder="1" applyAlignment="1">
      <alignment horizontal="left" vertical="top" wrapText="1"/>
    </xf>
    <xf numFmtId="0" fontId="32" fillId="0" borderId="46" xfId="0" applyFont="1" applyBorder="1" applyAlignment="1">
      <alignment horizontal="left" vertical="top" wrapText="1"/>
    </xf>
    <xf numFmtId="0" fontId="32" fillId="4" borderId="3" xfId="0" applyFont="1" applyFill="1" applyBorder="1" applyAlignment="1">
      <alignment horizontal="center" vertical="top" wrapText="1"/>
    </xf>
    <xf numFmtId="0" fontId="56" fillId="0" borderId="3" xfId="0" applyFont="1" applyBorder="1" applyAlignment="1">
      <alignment horizontal="left" vertical="center" wrapText="1"/>
    </xf>
    <xf numFmtId="0" fontId="11" fillId="4" borderId="3" xfId="0" applyFont="1" applyFill="1" applyBorder="1" applyAlignment="1">
      <alignment horizontal="center" wrapText="1"/>
    </xf>
    <xf numFmtId="0" fontId="11" fillId="4" borderId="3" xfId="0" applyFont="1" applyFill="1" applyBorder="1" applyAlignment="1">
      <alignment horizontal="center" vertical="top" wrapText="1"/>
    </xf>
    <xf numFmtId="0" fontId="32" fillId="4" borderId="5" xfId="0" applyFont="1" applyFill="1" applyBorder="1" applyAlignment="1">
      <alignment horizontal="center" vertical="top" wrapText="1"/>
    </xf>
    <xf numFmtId="0" fontId="56" fillId="20" borderId="3" xfId="0" applyFont="1" applyFill="1" applyBorder="1" applyAlignment="1">
      <alignment horizontal="left" vertical="center" wrapText="1"/>
    </xf>
    <xf numFmtId="0" fontId="11" fillId="20" borderId="3" xfId="0" applyFont="1" applyFill="1" applyBorder="1" applyAlignment="1">
      <alignment horizontal="center" wrapText="1"/>
    </xf>
    <xf numFmtId="164" fontId="14" fillId="19" borderId="3" xfId="5" applyFont="1" applyFill="1" applyBorder="1" applyAlignment="1">
      <alignment horizontal="center" wrapText="1"/>
    </xf>
    <xf numFmtId="0" fontId="59" fillId="8" borderId="3" xfId="0" applyFont="1" applyFill="1" applyBorder="1" applyAlignment="1">
      <alignment horizontal="left" vertical="center" wrapText="1"/>
    </xf>
    <xf numFmtId="0" fontId="13" fillId="17" borderId="44" xfId="0" applyFont="1" applyFill="1" applyBorder="1" applyAlignment="1">
      <alignment horizontal="center" vertical="top" wrapText="1"/>
    </xf>
    <xf numFmtId="0" fontId="13" fillId="17" borderId="6" xfId="0" applyFont="1" applyFill="1" applyBorder="1" applyAlignment="1">
      <alignment horizontal="center" vertical="top" wrapText="1"/>
    </xf>
    <xf numFmtId="0" fontId="59" fillId="4" borderId="5" xfId="0" applyFont="1" applyFill="1" applyBorder="1" applyAlignment="1">
      <alignment horizontal="center" vertical="center"/>
    </xf>
    <xf numFmtId="0" fontId="59" fillId="4" borderId="38" xfId="0" applyFont="1" applyFill="1" applyBorder="1" applyAlignment="1">
      <alignment horizontal="center" vertical="center"/>
    </xf>
    <xf numFmtId="0" fontId="56" fillId="4" borderId="3" xfId="0" applyFont="1" applyFill="1" applyBorder="1" applyAlignment="1">
      <alignment horizontal="left" vertical="top" wrapText="1"/>
    </xf>
    <xf numFmtId="0" fontId="11" fillId="0" borderId="3" xfId="0" applyFont="1" applyFill="1" applyBorder="1" applyAlignment="1">
      <alignment horizontal="center" wrapText="1"/>
    </xf>
    <xf numFmtId="0" fontId="11" fillId="4" borderId="23" xfId="0" applyFont="1" applyFill="1" applyBorder="1" applyAlignment="1">
      <alignment horizontal="center" vertical="center" wrapText="1"/>
    </xf>
    <xf numFmtId="0" fontId="11" fillId="4" borderId="0" xfId="0" applyFont="1" applyFill="1" applyBorder="1" applyAlignment="1">
      <alignment horizontal="center" vertical="center" wrapText="1"/>
    </xf>
    <xf numFmtId="0" fontId="11" fillId="4" borderId="3" xfId="0" applyFont="1" applyFill="1" applyBorder="1" applyAlignment="1">
      <alignment horizontal="center"/>
    </xf>
    <xf numFmtId="0" fontId="11" fillId="4" borderId="3" xfId="0" applyFont="1" applyFill="1" applyBorder="1" applyAlignment="1">
      <alignment horizontal="center" vertical="top"/>
    </xf>
    <xf numFmtId="0" fontId="11" fillId="4" borderId="41" xfId="0" applyFont="1" applyFill="1" applyBorder="1" applyAlignment="1">
      <alignment horizontal="center"/>
    </xf>
    <xf numFmtId="0" fontId="11" fillId="4" borderId="46" xfId="0" applyFont="1" applyFill="1" applyBorder="1" applyAlignment="1">
      <alignment horizontal="center"/>
    </xf>
    <xf numFmtId="0" fontId="41" fillId="17" borderId="0" xfId="0" applyFont="1" applyFill="1" applyAlignment="1">
      <alignment horizontal="left" vertical="top"/>
    </xf>
    <xf numFmtId="0" fontId="41" fillId="17" borderId="24" xfId="0" applyFont="1" applyFill="1" applyBorder="1" applyAlignment="1">
      <alignment horizontal="left" vertical="top"/>
    </xf>
    <xf numFmtId="0" fontId="59" fillId="8" borderId="39" xfId="0" applyFont="1" applyFill="1" applyBorder="1" applyAlignment="1">
      <alignment horizontal="left" vertical="center" wrapText="1"/>
    </xf>
    <xf numFmtId="0" fontId="59" fillId="8" borderId="0" xfId="0" applyFont="1" applyFill="1" applyBorder="1" applyAlignment="1">
      <alignment horizontal="left" vertical="center" wrapText="1"/>
    </xf>
    <xf numFmtId="0" fontId="24" fillId="4" borderId="3" xfId="0" applyFont="1" applyFill="1" applyBorder="1" applyAlignment="1">
      <alignment horizontal="left" vertical="center" wrapText="1"/>
    </xf>
    <xf numFmtId="0" fontId="24" fillId="4" borderId="5" xfId="0" applyFont="1" applyFill="1" applyBorder="1" applyAlignment="1">
      <alignment horizontal="left" vertical="center" wrapText="1"/>
    </xf>
    <xf numFmtId="0" fontId="24" fillId="4" borderId="1" xfId="0" applyFont="1" applyFill="1" applyBorder="1" applyAlignment="1">
      <alignment horizontal="left" vertical="center" wrapText="1"/>
    </xf>
    <xf numFmtId="0" fontId="24" fillId="4" borderId="4" xfId="0" applyFont="1" applyFill="1" applyBorder="1" applyAlignment="1">
      <alignment horizontal="left" vertical="center" wrapText="1"/>
    </xf>
    <xf numFmtId="0" fontId="59" fillId="4" borderId="3" xfId="0" applyFont="1" applyFill="1" applyBorder="1" applyAlignment="1">
      <alignment horizontal="center" vertical="center"/>
    </xf>
    <xf numFmtId="0" fontId="59" fillId="4" borderId="41" xfId="0" applyFont="1" applyFill="1" applyBorder="1" applyAlignment="1">
      <alignment horizontal="center" vertical="center"/>
    </xf>
    <xf numFmtId="0" fontId="56" fillId="0" borderId="3" xfId="0" applyFont="1" applyBorder="1" applyAlignment="1">
      <alignment horizontal="left" vertical="top" wrapText="1"/>
    </xf>
    <xf numFmtId="0" fontId="11" fillId="0" borderId="41" xfId="0" applyFont="1" applyFill="1" applyBorder="1" applyAlignment="1">
      <alignment horizontal="center"/>
    </xf>
    <xf numFmtId="0" fontId="11" fillId="0" borderId="46" xfId="0" applyFont="1" applyFill="1" applyBorder="1" applyAlignment="1">
      <alignment horizontal="center"/>
    </xf>
    <xf numFmtId="0" fontId="11" fillId="4" borderId="41" xfId="0" applyFont="1" applyFill="1" applyBorder="1" applyAlignment="1">
      <alignment horizontal="center" vertical="top"/>
    </xf>
    <xf numFmtId="0" fontId="11" fillId="4" borderId="46" xfId="0" applyFont="1" applyFill="1" applyBorder="1" applyAlignment="1">
      <alignment horizontal="center" vertical="top"/>
    </xf>
    <xf numFmtId="0" fontId="57" fillId="17" borderId="3" xfId="0" applyFont="1" applyFill="1" applyBorder="1" applyAlignment="1">
      <alignment horizontal="left" vertical="top" wrapText="1"/>
    </xf>
    <xf numFmtId="0" fontId="30" fillId="0" borderId="12" xfId="16" applyFont="1" applyFill="1" applyBorder="1" applyAlignment="1">
      <alignment horizontal="center" vertical="top" wrapText="1"/>
    </xf>
    <xf numFmtId="0" fontId="28" fillId="0" borderId="7" xfId="16" applyFont="1" applyFill="1" applyBorder="1" applyAlignment="1">
      <alignment horizontal="center" vertical="top" wrapText="1"/>
    </xf>
    <xf numFmtId="0" fontId="41" fillId="4" borderId="23" xfId="0" applyFont="1" applyFill="1" applyBorder="1" applyAlignment="1">
      <alignment horizontal="left" vertical="top" wrapText="1"/>
    </xf>
    <xf numFmtId="0" fontId="41" fillId="4" borderId="0" xfId="0" applyFont="1" applyFill="1" applyBorder="1" applyAlignment="1">
      <alignment horizontal="left" vertical="top" wrapText="1"/>
    </xf>
    <xf numFmtId="0" fontId="10" fillId="6" borderId="11" xfId="0"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1" fillId="4" borderId="32" xfId="0" applyFont="1" applyFill="1" applyBorder="1" applyAlignment="1">
      <alignment horizontal="center"/>
    </xf>
    <xf numFmtId="0" fontId="11" fillId="4" borderId="0" xfId="0" applyFont="1" applyFill="1" applyAlignment="1">
      <alignment horizontal="center"/>
    </xf>
    <xf numFmtId="0" fontId="71" fillId="9" borderId="3" xfId="0" applyFont="1" applyFill="1" applyBorder="1" applyAlignment="1">
      <alignment horizontal="center" vertical="center"/>
    </xf>
    <xf numFmtId="0" fontId="32" fillId="19" borderId="5" xfId="0" applyFont="1" applyFill="1" applyBorder="1" applyAlignment="1">
      <alignment horizontal="center" vertical="top" wrapText="1"/>
    </xf>
    <xf numFmtId="0" fontId="56" fillId="19" borderId="41" xfId="0" applyFont="1" applyFill="1" applyBorder="1" applyAlignment="1">
      <alignment horizontal="center" vertical="center" wrapText="1"/>
    </xf>
    <xf numFmtId="0" fontId="56" fillId="19" borderId="43" xfId="0" applyFont="1" applyFill="1" applyBorder="1" applyAlignment="1">
      <alignment horizontal="center" vertical="center" wrapText="1"/>
    </xf>
    <xf numFmtId="0" fontId="56" fillId="19" borderId="46" xfId="0" applyFont="1" applyFill="1" applyBorder="1" applyAlignment="1">
      <alignment horizontal="center" vertical="center" wrapText="1"/>
    </xf>
    <xf numFmtId="0" fontId="56" fillId="19" borderId="3" xfId="0" applyFont="1" applyFill="1" applyBorder="1" applyAlignment="1">
      <alignment horizontal="center" vertical="center" wrapText="1"/>
    </xf>
    <xf numFmtId="0" fontId="32" fillId="19" borderId="3" xfId="0" applyFont="1" applyFill="1" applyBorder="1" applyAlignment="1">
      <alignment horizontal="center" vertical="top" wrapText="1"/>
    </xf>
    <xf numFmtId="0" fontId="32" fillId="19" borderId="41" xfId="0" applyFont="1" applyFill="1" applyBorder="1" applyAlignment="1">
      <alignment horizontal="center" vertical="top" wrapText="1"/>
    </xf>
    <xf numFmtId="0" fontId="32" fillId="19" borderId="43" xfId="0" applyFont="1" applyFill="1" applyBorder="1" applyAlignment="1">
      <alignment horizontal="center" vertical="top" wrapText="1"/>
    </xf>
    <xf numFmtId="0" fontId="32" fillId="19" borderId="46" xfId="0" applyFont="1" applyFill="1" applyBorder="1" applyAlignment="1">
      <alignment horizontal="center" vertical="top" wrapText="1"/>
    </xf>
    <xf numFmtId="0" fontId="59" fillId="4" borderId="3" xfId="0" applyFont="1" applyFill="1" applyBorder="1" applyAlignment="1">
      <alignment horizontal="center" vertical="top"/>
    </xf>
    <xf numFmtId="0" fontId="32" fillId="4" borderId="41" xfId="0" applyFont="1" applyFill="1" applyBorder="1" applyAlignment="1">
      <alignment horizontal="center" vertical="top" wrapText="1"/>
    </xf>
    <xf numFmtId="0" fontId="32" fillId="4" borderId="43" xfId="0" applyFont="1" applyFill="1" applyBorder="1" applyAlignment="1">
      <alignment horizontal="center" vertical="top" wrapText="1"/>
    </xf>
    <xf numFmtId="0" fontId="32" fillId="4" borderId="46" xfId="0" applyFont="1" applyFill="1" applyBorder="1" applyAlignment="1">
      <alignment horizontal="center" vertical="top" wrapText="1"/>
    </xf>
    <xf numFmtId="0" fontId="32" fillId="9" borderId="3" xfId="0" applyFont="1" applyFill="1" applyBorder="1" applyAlignment="1">
      <alignment horizontal="center" vertical="center" wrapText="1"/>
    </xf>
    <xf numFmtId="0" fontId="32" fillId="9" borderId="41" xfId="0" applyFont="1" applyFill="1" applyBorder="1" applyAlignment="1">
      <alignment horizontal="center" vertical="center" wrapText="1"/>
    </xf>
    <xf numFmtId="0" fontId="8" fillId="4" borderId="3" xfId="0" applyFont="1" applyFill="1" applyBorder="1" applyAlignment="1">
      <alignment horizontal="center" vertical="top" wrapText="1"/>
    </xf>
    <xf numFmtId="0" fontId="55" fillId="4" borderId="3" xfId="4" applyFont="1" applyFill="1" applyBorder="1" applyAlignment="1" applyProtection="1">
      <alignment horizontal="center" vertical="top" wrapText="1"/>
    </xf>
    <xf numFmtId="0" fontId="14" fillId="4" borderId="3" xfId="0" applyFont="1" applyFill="1" applyBorder="1" applyAlignment="1">
      <alignment horizontal="center" vertical="top" wrapText="1"/>
    </xf>
    <xf numFmtId="0" fontId="14" fillId="0" borderId="3" xfId="8" applyFont="1" applyFill="1" applyBorder="1" applyAlignment="1">
      <alignment horizontal="center" vertical="top" wrapText="1"/>
    </xf>
    <xf numFmtId="0" fontId="14" fillId="0" borderId="3" xfId="8" applyFont="1" applyBorder="1" applyAlignment="1">
      <alignment horizontal="center" vertical="top" wrapText="1"/>
    </xf>
    <xf numFmtId="9" fontId="14" fillId="0" borderId="3" xfId="0" applyNumberFormat="1" applyFont="1" applyFill="1" applyBorder="1" applyAlignment="1">
      <alignment horizontal="center" vertical="top" wrapText="1"/>
    </xf>
    <xf numFmtId="0" fontId="11" fillId="4" borderId="3" xfId="0" applyFont="1" applyFill="1" applyBorder="1" applyAlignment="1">
      <alignment horizontal="justify" vertical="top" wrapText="1"/>
    </xf>
    <xf numFmtId="0" fontId="55" fillId="9" borderId="3" xfId="4" applyFont="1" applyFill="1" applyBorder="1" applyAlignment="1" applyProtection="1">
      <alignment horizontal="center" vertical="top" wrapText="1"/>
    </xf>
    <xf numFmtId="0" fontId="8" fillId="4" borderId="3" xfId="0" applyFont="1" applyFill="1" applyBorder="1" applyAlignment="1">
      <alignment horizontal="center" vertical="center" wrapText="1"/>
    </xf>
    <xf numFmtId="0" fontId="14" fillId="4" borderId="3" xfId="0" applyFont="1" applyFill="1" applyBorder="1" applyAlignment="1">
      <alignment horizontal="center" vertical="center" wrapText="1"/>
    </xf>
    <xf numFmtId="0" fontId="14" fillId="0" borderId="3" xfId="8" applyFont="1" applyFill="1" applyBorder="1" applyAlignment="1">
      <alignment horizontal="center" vertical="center" wrapText="1"/>
    </xf>
    <xf numFmtId="0" fontId="11" fillId="4" borderId="38" xfId="0" applyFont="1" applyFill="1" applyBorder="1" applyAlignment="1">
      <alignment horizontal="center" vertical="top" wrapText="1"/>
    </xf>
    <xf numFmtId="0" fontId="11" fillId="4" borderId="39" xfId="0" applyFont="1" applyFill="1" applyBorder="1" applyAlignment="1">
      <alignment horizontal="center" vertical="top" wrapText="1"/>
    </xf>
    <xf numFmtId="0" fontId="11" fillId="4" borderId="40" xfId="0" applyFont="1" applyFill="1" applyBorder="1" applyAlignment="1">
      <alignment horizontal="center" vertical="top" wrapText="1"/>
    </xf>
    <xf numFmtId="0" fontId="11" fillId="4" borderId="23" xfId="0" applyFont="1" applyFill="1" applyBorder="1" applyAlignment="1">
      <alignment horizontal="center" vertical="top" wrapText="1"/>
    </xf>
    <xf numFmtId="0" fontId="11" fillId="4" borderId="0" xfId="0" applyFont="1" applyFill="1" applyBorder="1" applyAlignment="1">
      <alignment horizontal="center" vertical="top" wrapText="1"/>
    </xf>
    <xf numFmtId="0" fontId="11" fillId="4" borderId="42" xfId="0" applyFont="1" applyFill="1" applyBorder="1" applyAlignment="1">
      <alignment horizontal="center" vertical="top" wrapText="1"/>
    </xf>
    <xf numFmtId="0" fontId="11" fillId="4" borderId="44" xfId="0" applyFont="1" applyFill="1" applyBorder="1" applyAlignment="1">
      <alignment horizontal="center" vertical="top" wrapText="1"/>
    </xf>
    <xf numFmtId="0" fontId="11" fillId="4" borderId="6" xfId="0" applyFont="1" applyFill="1" applyBorder="1" applyAlignment="1">
      <alignment horizontal="center" vertical="top" wrapText="1"/>
    </xf>
    <xf numFmtId="0" fontId="11" fillId="4" borderId="45" xfId="0" applyFont="1" applyFill="1" applyBorder="1" applyAlignment="1">
      <alignment horizontal="center" vertical="top" wrapText="1"/>
    </xf>
    <xf numFmtId="0" fontId="14" fillId="0" borderId="41" xfId="8" applyFont="1" applyBorder="1" applyAlignment="1">
      <alignment horizontal="center" vertical="top" wrapText="1"/>
    </xf>
    <xf numFmtId="0" fontId="14" fillId="0" borderId="43" xfId="8" applyFont="1" applyBorder="1" applyAlignment="1">
      <alignment horizontal="center" vertical="top" wrapText="1"/>
    </xf>
    <xf numFmtId="0" fontId="14" fillId="0" borderId="46" xfId="8" applyFont="1" applyBorder="1" applyAlignment="1">
      <alignment horizontal="center" vertical="top" wrapText="1"/>
    </xf>
    <xf numFmtId="0" fontId="56" fillId="0" borderId="3" xfId="0" applyFont="1" applyBorder="1" applyAlignment="1">
      <alignment horizontal="center" vertical="top" wrapText="1"/>
    </xf>
    <xf numFmtId="0" fontId="14" fillId="4" borderId="3" xfId="8" applyFont="1" applyFill="1" applyBorder="1" applyAlignment="1">
      <alignment horizontal="center" vertical="top" wrapText="1"/>
    </xf>
    <xf numFmtId="10" fontId="11" fillId="4" borderId="3" xfId="0" applyNumberFormat="1" applyFont="1" applyFill="1" applyBorder="1" applyAlignment="1">
      <alignment horizontal="center" vertical="top" wrapText="1"/>
    </xf>
    <xf numFmtId="0" fontId="13" fillId="6" borderId="7" xfId="0" applyFont="1" applyFill="1" applyBorder="1" applyAlignment="1">
      <alignment horizontal="center" vertical="top" wrapText="1"/>
    </xf>
    <xf numFmtId="0" fontId="13" fillId="6" borderId="11" xfId="0" applyFont="1" applyFill="1" applyBorder="1" applyAlignment="1">
      <alignment horizontal="center" vertical="top" wrapText="1"/>
    </xf>
    <xf numFmtId="0" fontId="3" fillId="4" borderId="3" xfId="4" applyFill="1" applyBorder="1" applyAlignment="1" applyProtection="1">
      <alignment horizontal="center" vertical="top" wrapText="1"/>
    </xf>
    <xf numFmtId="0" fontId="11" fillId="0" borderId="3" xfId="0" applyFont="1" applyFill="1" applyBorder="1" applyAlignment="1">
      <alignment horizontal="center" vertical="top" wrapText="1"/>
    </xf>
    <xf numFmtId="0" fontId="14" fillId="0" borderId="3" xfId="0" applyFont="1" applyFill="1" applyBorder="1" applyAlignment="1">
      <alignment horizontal="center" vertical="top" wrapText="1"/>
    </xf>
    <xf numFmtId="3" fontId="35" fillId="0" borderId="11" xfId="8" applyNumberFormat="1" applyFont="1" applyFill="1" applyBorder="1" applyAlignment="1">
      <alignment horizontal="justify" vertical="top" wrapText="1"/>
    </xf>
    <xf numFmtId="3" fontId="35" fillId="0" borderId="12" xfId="8" applyNumberFormat="1" applyFont="1" applyFill="1" applyBorder="1" applyAlignment="1">
      <alignment horizontal="justify" vertical="top" wrapText="1"/>
    </xf>
    <xf numFmtId="3" fontId="35" fillId="0" borderId="13" xfId="8" applyNumberFormat="1" applyFont="1" applyFill="1" applyBorder="1" applyAlignment="1">
      <alignment horizontal="justify" vertical="top" wrapText="1"/>
    </xf>
    <xf numFmtId="0" fontId="17" fillId="6" borderId="11" xfId="8" applyFont="1" applyFill="1" applyBorder="1" applyAlignment="1">
      <alignment horizontal="center" vertical="center" wrapText="1"/>
    </xf>
    <xf numFmtId="0" fontId="17" fillId="6" borderId="13" xfId="8" applyFont="1" applyFill="1" applyBorder="1" applyAlignment="1">
      <alignment horizontal="center" vertical="center" wrapText="1"/>
    </xf>
    <xf numFmtId="0" fontId="10" fillId="6" borderId="12" xfId="0" applyFont="1" applyFill="1" applyBorder="1" applyAlignment="1">
      <alignment horizontal="center" vertical="center" wrapText="1"/>
    </xf>
    <xf numFmtId="0" fontId="25" fillId="0" borderId="8" xfId="0" applyFont="1" applyFill="1" applyBorder="1" applyAlignment="1">
      <alignment horizontal="left" vertical="top" wrapText="1"/>
    </xf>
    <xf numFmtId="0" fontId="25" fillId="0" borderId="9" xfId="0" applyFont="1" applyFill="1" applyBorder="1" applyAlignment="1">
      <alignment horizontal="left" vertical="top" wrapText="1"/>
    </xf>
    <xf numFmtId="0" fontId="25" fillId="0" borderId="10" xfId="0" applyFont="1" applyFill="1" applyBorder="1" applyAlignment="1">
      <alignment horizontal="left" vertical="top" wrapText="1"/>
    </xf>
    <xf numFmtId="0" fontId="25" fillId="0" borderId="7" xfId="0" applyFont="1" applyFill="1" applyBorder="1" applyAlignment="1">
      <alignment horizontal="left" vertical="top" wrapText="1"/>
    </xf>
    <xf numFmtId="0" fontId="8" fillId="4" borderId="7" xfId="0" applyFont="1" applyFill="1" applyBorder="1" applyAlignment="1">
      <alignment horizontal="justify" vertical="top" wrapText="1"/>
    </xf>
    <xf numFmtId="0" fontId="8" fillId="4" borderId="7" xfId="0" applyFont="1" applyFill="1" applyBorder="1" applyAlignment="1">
      <alignment horizontal="left" vertical="top" wrapText="1"/>
    </xf>
    <xf numFmtId="0" fontId="22" fillId="6" borderId="7" xfId="4" applyFont="1" applyFill="1" applyBorder="1" applyAlignment="1" applyProtection="1">
      <alignment horizontal="center" vertical="center" wrapText="1"/>
    </xf>
    <xf numFmtId="0" fontId="8" fillId="4" borderId="8" xfId="0" applyFont="1" applyFill="1" applyBorder="1" applyAlignment="1">
      <alignment horizontal="left" vertical="top" wrapText="1"/>
    </xf>
    <xf numFmtId="0" fontId="8" fillId="4" borderId="9" xfId="0" applyFont="1" applyFill="1" applyBorder="1" applyAlignment="1">
      <alignment horizontal="left" vertical="top" wrapText="1"/>
    </xf>
    <xf numFmtId="0" fontId="8" fillId="4" borderId="10" xfId="0" applyFont="1" applyFill="1" applyBorder="1" applyAlignment="1">
      <alignment horizontal="left" vertical="top" wrapText="1"/>
    </xf>
    <xf numFmtId="0" fontId="25" fillId="4" borderId="14" xfId="0" applyFont="1" applyFill="1" applyBorder="1" applyAlignment="1">
      <alignment horizontal="left" vertical="top" wrapText="1"/>
    </xf>
    <xf numFmtId="0" fontId="25" fillId="4" borderId="31" xfId="0" applyFont="1" applyFill="1" applyBorder="1" applyAlignment="1">
      <alignment horizontal="left" vertical="top" wrapText="1"/>
    </xf>
    <xf numFmtId="0" fontId="25" fillId="4" borderId="15" xfId="0" applyFont="1" applyFill="1" applyBorder="1" applyAlignment="1">
      <alignment horizontal="left" vertical="top" wrapText="1"/>
    </xf>
    <xf numFmtId="0" fontId="25" fillId="4" borderId="32" xfId="0" applyFont="1" applyFill="1" applyBorder="1" applyAlignment="1">
      <alignment horizontal="left" vertical="top" wrapText="1"/>
    </xf>
    <xf numFmtId="0" fontId="25" fillId="4" borderId="0" xfId="0" applyFont="1" applyFill="1" applyBorder="1" applyAlignment="1">
      <alignment horizontal="left" vertical="top" wrapText="1"/>
    </xf>
    <xf numFmtId="0" fontId="25" fillId="4" borderId="24" xfId="0" applyFont="1" applyFill="1" applyBorder="1" applyAlignment="1">
      <alignment horizontal="left" vertical="top" wrapText="1"/>
    </xf>
    <xf numFmtId="0" fontId="25" fillId="4" borderId="33" xfId="0" applyFont="1" applyFill="1" applyBorder="1" applyAlignment="1">
      <alignment horizontal="left" vertical="top" wrapText="1"/>
    </xf>
    <xf numFmtId="0" fontId="25" fillId="4" borderId="16" xfId="0" applyFont="1" applyFill="1" applyBorder="1" applyAlignment="1">
      <alignment horizontal="left" vertical="top" wrapText="1"/>
    </xf>
    <xf numFmtId="0" fontId="25" fillId="4" borderId="34" xfId="0" applyFont="1" applyFill="1" applyBorder="1" applyAlignment="1">
      <alignment horizontal="left" vertical="top" wrapText="1"/>
    </xf>
    <xf numFmtId="0" fontId="24" fillId="4" borderId="24" xfId="0" applyFont="1" applyFill="1" applyBorder="1" applyAlignment="1">
      <alignment horizontal="left" vertical="center" wrapText="1"/>
    </xf>
    <xf numFmtId="0" fontId="30" fillId="0" borderId="7" xfId="16" applyFont="1" applyFill="1" applyBorder="1" applyAlignment="1">
      <alignment horizontal="justify" vertical="top" wrapText="1"/>
    </xf>
    <xf numFmtId="0" fontId="30" fillId="0" borderId="7" xfId="18" applyFont="1" applyFill="1" applyBorder="1" applyAlignment="1">
      <alignment horizontal="center" vertical="top" wrapText="1"/>
    </xf>
    <xf numFmtId="166" fontId="30" fillId="0" borderId="7" xfId="19" applyNumberFormat="1" applyFont="1" applyFill="1" applyBorder="1" applyAlignment="1">
      <alignment horizontal="center" vertical="top" wrapText="1"/>
    </xf>
    <xf numFmtId="0" fontId="25" fillId="0" borderId="11" xfId="0" applyFont="1" applyFill="1" applyBorder="1" applyAlignment="1">
      <alignment horizontal="center" vertical="top" wrapText="1"/>
    </xf>
    <xf numFmtId="0" fontId="25" fillId="0" borderId="13" xfId="0" applyFont="1" applyFill="1" applyBorder="1" applyAlignment="1">
      <alignment horizontal="center" vertical="top" wrapText="1"/>
    </xf>
    <xf numFmtId="0" fontId="10" fillId="4" borderId="14" xfId="0" applyFont="1" applyFill="1" applyBorder="1" applyAlignment="1">
      <alignment horizontal="center" vertical="top" wrapText="1"/>
    </xf>
    <xf numFmtId="0" fontId="10" fillId="4" borderId="15" xfId="0" applyFont="1" applyFill="1" applyBorder="1" applyAlignment="1">
      <alignment horizontal="center" vertical="top" wrapText="1"/>
    </xf>
    <xf numFmtId="0" fontId="10" fillId="4" borderId="33" xfId="0" applyFont="1" applyFill="1" applyBorder="1" applyAlignment="1">
      <alignment horizontal="center" vertical="top" wrapText="1"/>
    </xf>
    <xf numFmtId="0" fontId="10" fillId="4" borderId="34" xfId="0" applyFont="1" applyFill="1" applyBorder="1" applyAlignment="1">
      <alignment horizontal="center" vertical="top" wrapText="1"/>
    </xf>
    <xf numFmtId="0" fontId="30" fillId="0" borderId="11" xfId="18" applyFont="1" applyFill="1" applyBorder="1" applyAlignment="1">
      <alignment horizontal="center" vertical="top" wrapText="1"/>
    </xf>
    <xf numFmtId="0" fontId="30" fillId="0" borderId="13" xfId="18" applyFont="1" applyFill="1" applyBorder="1" applyAlignment="1">
      <alignment horizontal="center" vertical="top" wrapText="1"/>
    </xf>
    <xf numFmtId="0" fontId="25" fillId="0" borderId="14" xfId="0" applyFont="1" applyFill="1" applyBorder="1" applyAlignment="1">
      <alignment horizontal="center" vertical="top" wrapText="1"/>
    </xf>
    <xf numFmtId="0" fontId="25" fillId="0" borderId="31" xfId="0" applyFont="1" applyFill="1" applyBorder="1" applyAlignment="1">
      <alignment horizontal="center" vertical="top" wrapText="1"/>
    </xf>
    <xf numFmtId="0" fontId="25" fillId="0" borderId="15" xfId="0" applyFont="1" applyFill="1" applyBorder="1" applyAlignment="1">
      <alignment horizontal="center" vertical="top" wrapText="1"/>
    </xf>
    <xf numFmtId="0" fontId="25" fillId="0" borderId="33" xfId="0" applyFont="1" applyFill="1" applyBorder="1" applyAlignment="1">
      <alignment horizontal="center" vertical="top" wrapText="1"/>
    </xf>
    <xf numFmtId="0" fontId="25" fillId="0" borderId="16" xfId="0" applyFont="1" applyFill="1" applyBorder="1" applyAlignment="1">
      <alignment horizontal="center" vertical="top" wrapText="1"/>
    </xf>
    <xf numFmtId="0" fontId="25" fillId="0" borderId="34" xfId="0" applyFont="1" applyFill="1" applyBorder="1" applyAlignment="1">
      <alignment horizontal="center" vertical="top" wrapText="1"/>
    </xf>
    <xf numFmtId="0" fontId="11" fillId="4" borderId="14" xfId="0" applyFont="1" applyFill="1" applyBorder="1" applyAlignment="1">
      <alignment horizontal="center"/>
    </xf>
    <xf numFmtId="0" fontId="11" fillId="4" borderId="31" xfId="0" applyFont="1" applyFill="1" applyBorder="1" applyAlignment="1">
      <alignment horizontal="center"/>
    </xf>
    <xf numFmtId="0" fontId="11" fillId="4" borderId="15" xfId="0" applyFont="1" applyFill="1" applyBorder="1" applyAlignment="1">
      <alignment horizontal="center"/>
    </xf>
    <xf numFmtId="0" fontId="11" fillId="4" borderId="24" xfId="0" applyFont="1" applyFill="1" applyBorder="1" applyAlignment="1">
      <alignment horizontal="center"/>
    </xf>
    <xf numFmtId="166" fontId="30" fillId="0" borderId="33" xfId="19" applyNumberFormat="1" applyFont="1" applyFill="1" applyBorder="1" applyAlignment="1">
      <alignment horizontal="left" vertical="center" wrapText="1"/>
    </xf>
    <xf numFmtId="166" fontId="30" fillId="0" borderId="16" xfId="19" applyNumberFormat="1" applyFont="1" applyFill="1" applyBorder="1" applyAlignment="1">
      <alignment horizontal="left" vertical="center" wrapText="1"/>
    </xf>
    <xf numFmtId="166" fontId="30" fillId="0" borderId="34" xfId="19" applyNumberFormat="1" applyFont="1" applyFill="1" applyBorder="1" applyAlignment="1">
      <alignment horizontal="left" vertical="center" wrapText="1"/>
    </xf>
    <xf numFmtId="0" fontId="0" fillId="0" borderId="7" xfId="0" applyBorder="1"/>
    <xf numFmtId="0" fontId="36" fillId="0" borderId="8" xfId="8" applyFont="1" applyFill="1" applyBorder="1" applyAlignment="1">
      <alignment horizontal="center" vertical="center" wrapText="1"/>
    </xf>
    <xf numFmtId="0" fontId="36" fillId="0" borderId="10" xfId="8" applyFont="1" applyFill="1" applyBorder="1" applyAlignment="1">
      <alignment horizontal="center" vertical="center" wrapText="1"/>
    </xf>
    <xf numFmtId="0" fontId="17" fillId="6" borderId="8" xfId="8" applyFont="1" applyFill="1" applyBorder="1" applyAlignment="1">
      <alignment horizontal="center" vertical="center" wrapText="1"/>
    </xf>
    <xf numFmtId="0" fontId="17" fillId="6" borderId="10" xfId="8" applyFont="1" applyFill="1" applyBorder="1" applyAlignment="1">
      <alignment horizontal="center" vertical="center" wrapText="1"/>
    </xf>
    <xf numFmtId="0" fontId="3" fillId="0" borderId="11" xfId="4" applyFill="1" applyBorder="1" applyAlignment="1" applyProtection="1">
      <alignment horizontal="center" vertical="top" wrapText="1"/>
    </xf>
    <xf numFmtId="0" fontId="3" fillId="0" borderId="12" xfId="4" applyFill="1" applyBorder="1" applyAlignment="1" applyProtection="1">
      <alignment horizontal="center" vertical="top" wrapText="1"/>
    </xf>
    <xf numFmtId="0" fontId="3" fillId="0" borderId="13" xfId="4" applyFill="1" applyBorder="1" applyAlignment="1" applyProtection="1">
      <alignment horizontal="center" vertical="top" wrapText="1"/>
    </xf>
    <xf numFmtId="0" fontId="11" fillId="4" borderId="7" xfId="0" applyFont="1" applyFill="1" applyBorder="1" applyAlignment="1">
      <alignment horizontal="justify" vertical="top" wrapText="1"/>
    </xf>
    <xf numFmtId="0" fontId="3" fillId="12" borderId="11" xfId="4" applyFill="1" applyBorder="1" applyAlignment="1" applyProtection="1">
      <alignment horizontal="center" vertical="top" wrapText="1"/>
    </xf>
    <xf numFmtId="0" fontId="3" fillId="12" borderId="12" xfId="4" applyFill="1" applyBorder="1" applyAlignment="1" applyProtection="1">
      <alignment horizontal="center" vertical="top" wrapText="1"/>
    </xf>
    <xf numFmtId="0" fontId="3" fillId="12" borderId="13" xfId="4" applyFill="1" applyBorder="1" applyAlignment="1" applyProtection="1">
      <alignment horizontal="center" vertical="top" wrapText="1"/>
    </xf>
    <xf numFmtId="0" fontId="11" fillId="0" borderId="11" xfId="0" applyFont="1" applyFill="1" applyBorder="1" applyAlignment="1">
      <alignment horizontal="center" vertical="top" wrapText="1"/>
    </xf>
    <xf numFmtId="0" fontId="11" fillId="0" borderId="12" xfId="0" applyFont="1" applyFill="1" applyBorder="1" applyAlignment="1">
      <alignment horizontal="center" vertical="top" wrapText="1"/>
    </xf>
    <xf numFmtId="0" fontId="11" fillId="0" borderId="13" xfId="0" applyFont="1" applyFill="1" applyBorder="1" applyAlignment="1">
      <alignment horizontal="center" vertical="top" wrapText="1"/>
    </xf>
    <xf numFmtId="0" fontId="14" fillId="0" borderId="7" xfId="8" applyFont="1" applyBorder="1" applyAlignment="1">
      <alignment horizontal="center" vertical="top" wrapText="1"/>
    </xf>
    <xf numFmtId="0" fontId="14" fillId="0" borderId="7" xfId="8" applyFont="1" applyFill="1" applyBorder="1" applyAlignment="1">
      <alignment horizontal="center" vertical="top" wrapText="1"/>
    </xf>
    <xf numFmtId="10" fontId="11" fillId="0" borderId="20" xfId="0" applyNumberFormat="1" applyFont="1" applyFill="1" applyBorder="1" applyAlignment="1">
      <alignment horizontal="center" vertical="top" wrapText="1"/>
    </xf>
    <xf numFmtId="10" fontId="11" fillId="0" borderId="21" xfId="0" applyNumberFormat="1" applyFont="1" applyFill="1" applyBorder="1" applyAlignment="1">
      <alignment horizontal="center" vertical="top" wrapText="1"/>
    </xf>
    <xf numFmtId="9" fontId="11" fillId="0" borderId="17" xfId="0" applyNumberFormat="1" applyFont="1" applyFill="1" applyBorder="1" applyAlignment="1">
      <alignment horizontal="center" vertical="top" wrapText="1"/>
    </xf>
    <xf numFmtId="9" fontId="11" fillId="0" borderId="20" xfId="0" applyNumberFormat="1" applyFont="1" applyFill="1" applyBorder="1" applyAlignment="1">
      <alignment horizontal="center" vertical="top" wrapText="1"/>
    </xf>
    <xf numFmtId="9" fontId="11" fillId="0" borderId="21" xfId="0" applyNumberFormat="1" applyFont="1" applyFill="1" applyBorder="1" applyAlignment="1">
      <alignment horizontal="center" vertical="top" wrapText="1"/>
    </xf>
    <xf numFmtId="0" fontId="17" fillId="6" borderId="9" xfId="8" applyFont="1" applyFill="1" applyBorder="1" applyAlignment="1">
      <alignment horizontal="center" vertical="center" wrapText="1"/>
    </xf>
    <xf numFmtId="0" fontId="10" fillId="6" borderId="33" xfId="0" applyFont="1" applyFill="1" applyBorder="1" applyAlignment="1">
      <alignment horizontal="center" vertical="center" wrapText="1"/>
    </xf>
    <xf numFmtId="0" fontId="10" fillId="6" borderId="16" xfId="0" applyFont="1" applyFill="1" applyBorder="1" applyAlignment="1">
      <alignment horizontal="center" vertical="center" wrapText="1"/>
    </xf>
    <xf numFmtId="0" fontId="10" fillId="6" borderId="34" xfId="0" applyFont="1" applyFill="1" applyBorder="1" applyAlignment="1">
      <alignment horizontal="center" vertical="center" wrapText="1"/>
    </xf>
    <xf numFmtId="0" fontId="17" fillId="6" borderId="7" xfId="8" applyFont="1" applyFill="1" applyBorder="1" applyAlignment="1">
      <alignment horizontal="center" vertical="center" wrapText="1"/>
    </xf>
    <xf numFmtId="0" fontId="11" fillId="4" borderId="18" xfId="0" applyFont="1" applyFill="1" applyBorder="1" applyAlignment="1">
      <alignment horizontal="center" vertical="top" wrapText="1"/>
    </xf>
    <xf numFmtId="0" fontId="11" fillId="4" borderId="29" xfId="0" applyFont="1" applyFill="1" applyBorder="1" applyAlignment="1">
      <alignment horizontal="center" vertical="top" wrapText="1"/>
    </xf>
    <xf numFmtId="0" fontId="88" fillId="4" borderId="7" xfId="0" applyFont="1" applyFill="1" applyBorder="1" applyAlignment="1">
      <alignment horizontal="justify" vertical="top" wrapText="1"/>
    </xf>
    <xf numFmtId="0" fontId="88" fillId="4" borderId="13" xfId="0" applyFont="1" applyFill="1" applyBorder="1" applyAlignment="1">
      <alignment horizontal="justify" vertical="top" wrapText="1"/>
    </xf>
    <xf numFmtId="0" fontId="1" fillId="4" borderId="7" xfId="0" applyFont="1" applyFill="1" applyBorder="1" applyAlignment="1">
      <alignment horizontal="justify" vertical="top" wrapText="1"/>
    </xf>
    <xf numFmtId="0" fontId="86" fillId="4" borderId="7" xfId="0" applyFont="1" applyFill="1" applyBorder="1" applyAlignment="1">
      <alignment horizontal="justify" vertical="top" wrapText="1"/>
    </xf>
    <xf numFmtId="0" fontId="114" fillId="4" borderId="17" xfId="0" applyFont="1" applyFill="1" applyBorder="1" applyAlignment="1">
      <alignment horizontal="center" vertical="top" wrapText="1"/>
    </xf>
    <xf numFmtId="0" fontId="114" fillId="4" borderId="20" xfId="0" applyFont="1" applyFill="1" applyBorder="1" applyAlignment="1">
      <alignment horizontal="center" vertical="top" wrapText="1"/>
    </xf>
    <xf numFmtId="0" fontId="114" fillId="4" borderId="21" xfId="0" applyFont="1" applyFill="1" applyBorder="1" applyAlignment="1">
      <alignment horizontal="center" vertical="top" wrapText="1"/>
    </xf>
    <xf numFmtId="0" fontId="89" fillId="4" borderId="7" xfId="0" applyFont="1" applyFill="1" applyBorder="1" applyAlignment="1">
      <alignment horizontal="justify" vertical="top" wrapText="1"/>
    </xf>
    <xf numFmtId="0" fontId="89" fillId="4" borderId="7" xfId="8" applyFont="1" applyFill="1" applyBorder="1" applyAlignment="1">
      <alignment horizontal="justify" vertical="top" wrapText="1"/>
    </xf>
    <xf numFmtId="0" fontId="89" fillId="4" borderId="7" xfId="8" applyFont="1" applyFill="1" applyBorder="1" applyAlignment="1">
      <alignment horizontal="center" vertical="top" wrapText="1"/>
    </xf>
    <xf numFmtId="0" fontId="107" fillId="4" borderId="20" xfId="0" applyFont="1" applyFill="1" applyBorder="1" applyAlignment="1">
      <alignment horizontal="center" vertical="top" wrapText="1"/>
    </xf>
    <xf numFmtId="0" fontId="107" fillId="4" borderId="21" xfId="0" applyFont="1" applyFill="1" applyBorder="1" applyAlignment="1">
      <alignment horizontal="center" vertical="top" wrapText="1"/>
    </xf>
    <xf numFmtId="0" fontId="86" fillId="4" borderId="16" xfId="0" applyFont="1" applyFill="1" applyBorder="1" applyAlignment="1">
      <alignment horizontal="left" vertical="center"/>
    </xf>
    <xf numFmtId="0" fontId="105" fillId="24" borderId="8" xfId="0" applyFont="1" applyFill="1" applyBorder="1" applyAlignment="1">
      <alignment horizontal="center" vertical="center"/>
    </xf>
    <xf numFmtId="0" fontId="105" fillId="24" borderId="9" xfId="0" applyFont="1" applyFill="1" applyBorder="1" applyAlignment="1">
      <alignment horizontal="center" vertical="center"/>
    </xf>
    <xf numFmtId="0" fontId="105" fillId="24" borderId="10" xfId="0" applyFont="1" applyFill="1" applyBorder="1" applyAlignment="1">
      <alignment horizontal="center" vertical="center"/>
    </xf>
    <xf numFmtId="0" fontId="56" fillId="4" borderId="41" xfId="0" applyFont="1" applyFill="1" applyBorder="1" applyAlignment="1">
      <alignment horizontal="left" vertical="top" wrapText="1"/>
    </xf>
    <xf numFmtId="0" fontId="56" fillId="4" borderId="43" xfId="0" applyFont="1" applyFill="1" applyBorder="1" applyAlignment="1">
      <alignment horizontal="left" vertical="top" wrapText="1"/>
    </xf>
    <xf numFmtId="0" fontId="56" fillId="4" borderId="46" xfId="0" applyFont="1" applyFill="1" applyBorder="1" applyAlignment="1">
      <alignment horizontal="left" vertical="top" wrapText="1"/>
    </xf>
    <xf numFmtId="0" fontId="56" fillId="4" borderId="3" xfId="0" applyFont="1" applyFill="1" applyBorder="1" applyAlignment="1">
      <alignment horizontal="left" vertical="center" wrapText="1"/>
    </xf>
    <xf numFmtId="164" fontId="14" fillId="4" borderId="3" xfId="5" applyFont="1" applyFill="1" applyBorder="1" applyAlignment="1">
      <alignment horizontal="center" wrapText="1"/>
    </xf>
    <xf numFmtId="0" fontId="11" fillId="4" borderId="3" xfId="0" applyFont="1" applyFill="1" applyBorder="1" applyAlignment="1">
      <alignment horizontal="center" vertical="center"/>
    </xf>
    <xf numFmtId="0" fontId="41" fillId="17" borderId="0" xfId="0" applyFont="1" applyFill="1" applyAlignment="1">
      <alignment horizontal="center" vertical="top"/>
    </xf>
    <xf numFmtId="0" fontId="11" fillId="0" borderId="41" xfId="0" applyFont="1" applyFill="1" applyBorder="1" applyAlignment="1">
      <alignment horizontal="center" vertical="center"/>
    </xf>
    <xf numFmtId="0" fontId="11" fillId="0" borderId="46" xfId="0" applyFont="1" applyFill="1" applyBorder="1" applyAlignment="1">
      <alignment horizontal="center" vertical="center"/>
    </xf>
    <xf numFmtId="0" fontId="11" fillId="4" borderId="41" xfId="0" applyFont="1" applyFill="1" applyBorder="1" applyAlignment="1">
      <alignment horizontal="center" vertical="center"/>
    </xf>
    <xf numFmtId="0" fontId="11" fillId="4" borderId="46" xfId="0" applyFont="1" applyFill="1" applyBorder="1" applyAlignment="1">
      <alignment horizontal="center" vertical="center"/>
    </xf>
    <xf numFmtId="0" fontId="71" fillId="4" borderId="3" xfId="0" applyFont="1" applyFill="1" applyBorder="1" applyAlignment="1">
      <alignment horizontal="center" vertical="center"/>
    </xf>
    <xf numFmtId="0" fontId="56" fillId="4" borderId="3" xfId="0" applyFont="1" applyFill="1" applyBorder="1" applyAlignment="1">
      <alignment horizontal="center" vertical="center" wrapText="1"/>
    </xf>
    <xf numFmtId="0" fontId="56" fillId="4" borderId="41" xfId="0" applyFont="1" applyFill="1" applyBorder="1" applyAlignment="1">
      <alignment horizontal="center" vertical="center" wrapText="1"/>
    </xf>
    <xf numFmtId="0" fontId="56" fillId="4" borderId="43" xfId="0" applyFont="1" applyFill="1" applyBorder="1" applyAlignment="1">
      <alignment horizontal="center" vertical="center" wrapText="1"/>
    </xf>
    <xf numFmtId="0" fontId="56" fillId="4" borderId="46" xfId="0" applyFont="1" applyFill="1" applyBorder="1" applyAlignment="1">
      <alignment horizontal="center" vertical="center" wrapText="1"/>
    </xf>
    <xf numFmtId="0" fontId="32" fillId="4" borderId="3" xfId="0" applyFont="1" applyFill="1" applyBorder="1" applyAlignment="1">
      <alignment horizontal="center" vertical="center" wrapText="1"/>
    </xf>
    <xf numFmtId="0" fontId="32" fillId="4" borderId="41" xfId="0" applyFont="1" applyFill="1" applyBorder="1" applyAlignment="1">
      <alignment horizontal="center" vertical="center" wrapText="1"/>
    </xf>
    <xf numFmtId="0" fontId="88" fillId="4" borderId="14" xfId="0" applyFont="1" applyFill="1" applyBorder="1" applyAlignment="1" applyProtection="1">
      <alignment horizontal="center" vertical="top" wrapText="1"/>
    </xf>
    <xf numFmtId="0" fontId="88" fillId="4" borderId="15" xfId="0" applyFont="1" applyFill="1" applyBorder="1" applyAlignment="1" applyProtection="1">
      <alignment horizontal="center" vertical="top" wrapText="1"/>
    </xf>
    <xf numFmtId="0" fontId="88" fillId="4" borderId="32" xfId="0" applyFont="1" applyFill="1" applyBorder="1" applyAlignment="1" applyProtection="1">
      <alignment horizontal="center" vertical="top" wrapText="1"/>
    </xf>
    <xf numFmtId="0" fontId="88" fillId="4" borderId="24" xfId="0" applyFont="1" applyFill="1" applyBorder="1" applyAlignment="1" applyProtection="1">
      <alignment horizontal="center" vertical="top" wrapText="1"/>
    </xf>
    <xf numFmtId="0" fontId="88" fillId="4" borderId="33" xfId="0" applyFont="1" applyFill="1" applyBorder="1" applyAlignment="1" applyProtection="1">
      <alignment horizontal="center" vertical="top" wrapText="1"/>
    </xf>
    <xf numFmtId="0" fontId="88" fillId="4" borderId="34" xfId="0" applyFont="1" applyFill="1" applyBorder="1" applyAlignment="1" applyProtection="1">
      <alignment horizontal="center" vertical="top" wrapText="1"/>
    </xf>
    <xf numFmtId="0" fontId="108" fillId="4" borderId="11" xfId="0" applyFont="1" applyFill="1" applyBorder="1" applyAlignment="1">
      <alignment horizontal="center" vertical="top" wrapText="1"/>
    </xf>
    <xf numFmtId="0" fontId="86" fillId="4" borderId="7" xfId="0" applyFont="1" applyFill="1" applyBorder="1" applyAlignment="1" applyProtection="1">
      <alignment horizontal="center" vertical="top" wrapText="1"/>
    </xf>
    <xf numFmtId="0" fontId="88" fillId="4" borderId="7" xfId="0" applyFont="1" applyFill="1" applyBorder="1" applyAlignment="1" applyProtection="1">
      <alignment horizontal="center" vertical="top" wrapText="1"/>
    </xf>
    <xf numFmtId="0" fontId="90" fillId="4" borderId="7" xfId="0" applyFont="1" applyFill="1" applyBorder="1" applyAlignment="1" applyProtection="1">
      <alignment horizontal="center" vertical="top" wrapText="1"/>
    </xf>
    <xf numFmtId="0" fontId="89" fillId="4" borderId="7" xfId="8" applyFont="1" applyFill="1" applyBorder="1" applyAlignment="1" applyProtection="1">
      <alignment horizontal="center" vertical="top" wrapText="1"/>
    </xf>
    <xf numFmtId="0" fontId="1" fillId="4" borderId="7" xfId="0" applyFont="1" applyFill="1" applyBorder="1" applyAlignment="1" applyProtection="1">
      <alignment horizontal="center" vertical="top" wrapText="1"/>
    </xf>
    <xf numFmtId="0" fontId="88" fillId="4" borderId="7" xfId="0" applyFont="1" applyFill="1" applyBorder="1" applyAlignment="1" applyProtection="1">
      <alignment horizontal="center" vertical="top"/>
    </xf>
    <xf numFmtId="0" fontId="92" fillId="25" borderId="14" xfId="0" applyFont="1" applyFill="1" applyBorder="1" applyAlignment="1" applyProtection="1">
      <alignment horizontal="center" vertical="center" wrapText="1"/>
    </xf>
    <xf numFmtId="0" fontId="92" fillId="25" borderId="15" xfId="0" applyFont="1" applyFill="1" applyBorder="1" applyAlignment="1" applyProtection="1">
      <alignment horizontal="center" vertical="center" wrapText="1"/>
    </xf>
    <xf numFmtId="0" fontId="92" fillId="25" borderId="11" xfId="0" applyFont="1" applyFill="1" applyBorder="1" applyAlignment="1" applyProtection="1">
      <alignment horizontal="center" vertical="center" wrapText="1"/>
    </xf>
    <xf numFmtId="0" fontId="92" fillId="25" borderId="12" xfId="0" applyFont="1" applyFill="1" applyBorder="1" applyAlignment="1" applyProtection="1">
      <alignment horizontal="center" vertical="center" wrapText="1"/>
    </xf>
    <xf numFmtId="0" fontId="89" fillId="4" borderId="7" xfId="2" applyFont="1" applyFill="1" applyBorder="1" applyAlignment="1" applyProtection="1">
      <alignment horizontal="center" vertical="top" wrapText="1"/>
    </xf>
    <xf numFmtId="9" fontId="108" fillId="4" borderId="12" xfId="0" applyNumberFormat="1" applyFont="1" applyFill="1" applyBorder="1" applyAlignment="1">
      <alignment horizontal="center" vertical="top" wrapText="1"/>
    </xf>
    <xf numFmtId="9" fontId="108" fillId="4" borderId="13" xfId="0" applyNumberFormat="1" applyFont="1" applyFill="1" applyBorder="1" applyAlignment="1">
      <alignment horizontal="center" vertical="top" wrapText="1"/>
    </xf>
    <xf numFmtId="0" fontId="19" fillId="4" borderId="16" xfId="0" applyFont="1" applyFill="1" applyBorder="1" applyAlignment="1" applyProtection="1">
      <alignment horizontal="left" vertical="center"/>
    </xf>
    <xf numFmtId="0" fontId="92" fillId="25" borderId="7" xfId="0" applyFont="1" applyFill="1" applyBorder="1" applyAlignment="1" applyProtection="1">
      <alignment horizontal="center" vertical="center" wrapText="1"/>
    </xf>
    <xf numFmtId="0" fontId="89" fillId="4" borderId="7" xfId="0" applyFont="1" applyFill="1" applyBorder="1" applyAlignment="1" applyProtection="1">
      <alignment horizontal="center" vertical="top" wrapText="1"/>
    </xf>
    <xf numFmtId="0" fontId="107" fillId="4" borderId="17" xfId="0" applyFont="1" applyFill="1" applyBorder="1" applyAlignment="1">
      <alignment horizontal="center" vertical="top" wrapText="1"/>
    </xf>
    <xf numFmtId="9" fontId="101" fillId="0" borderId="7" xfId="0" applyNumberFormat="1" applyFont="1" applyFill="1" applyBorder="1" applyAlignment="1">
      <alignment horizontal="center" vertical="top" wrapText="1"/>
    </xf>
    <xf numFmtId="0" fontId="101" fillId="0" borderId="7" xfId="0" applyFont="1" applyFill="1" applyBorder="1" applyAlignment="1">
      <alignment horizontal="center" vertical="top" wrapText="1"/>
    </xf>
    <xf numFmtId="0" fontId="91" fillId="25" borderId="32" xfId="0" applyFont="1" applyFill="1" applyBorder="1" applyAlignment="1" applyProtection="1">
      <alignment horizontal="center" vertical="center"/>
    </xf>
    <xf numFmtId="0" fontId="91" fillId="25" borderId="0" xfId="0" applyFont="1" applyFill="1" applyBorder="1" applyAlignment="1" applyProtection="1">
      <alignment horizontal="center" vertical="center"/>
    </xf>
    <xf numFmtId="0" fontId="10" fillId="5" borderId="8" xfId="0" applyFont="1" applyFill="1" applyBorder="1" applyAlignment="1">
      <alignment horizontal="center" vertical="center" wrapText="1"/>
    </xf>
    <xf numFmtId="0" fontId="10" fillId="5" borderId="9" xfId="0" applyFont="1" applyFill="1" applyBorder="1" applyAlignment="1">
      <alignment horizontal="center" vertical="center" wrapText="1"/>
    </xf>
    <xf numFmtId="0" fontId="10" fillId="5" borderId="10" xfId="0" applyFont="1" applyFill="1" applyBorder="1" applyAlignment="1">
      <alignment horizontal="center" vertical="center" wrapText="1"/>
    </xf>
    <xf numFmtId="0" fontId="10" fillId="5" borderId="14" xfId="0" applyFont="1" applyFill="1" applyBorder="1" applyAlignment="1">
      <alignment horizontal="center" vertical="center" wrapText="1"/>
    </xf>
    <xf numFmtId="0" fontId="10" fillId="5" borderId="31" xfId="0" applyFont="1" applyFill="1" applyBorder="1" applyAlignment="1">
      <alignment horizontal="center" vertical="center" wrapText="1"/>
    </xf>
    <xf numFmtId="0" fontId="10" fillId="5" borderId="15" xfId="0" applyFont="1" applyFill="1" applyBorder="1" applyAlignment="1">
      <alignment horizontal="center" vertical="center" wrapText="1"/>
    </xf>
    <xf numFmtId="0" fontId="10" fillId="5" borderId="33" xfId="0" applyFont="1" applyFill="1" applyBorder="1" applyAlignment="1">
      <alignment horizontal="center" vertical="center" wrapText="1"/>
    </xf>
    <xf numFmtId="0" fontId="10" fillId="5" borderId="16" xfId="0" applyFont="1" applyFill="1" applyBorder="1" applyAlignment="1">
      <alignment horizontal="center" vertical="center" wrapText="1"/>
    </xf>
    <xf numFmtId="0" fontId="10" fillId="5" borderId="34" xfId="0" applyFont="1" applyFill="1" applyBorder="1" applyAlignment="1">
      <alignment horizontal="center" vertical="center" wrapText="1"/>
    </xf>
    <xf numFmtId="0" fontId="39" fillId="0" borderId="8" xfId="0" applyFont="1" applyFill="1" applyBorder="1" applyAlignment="1">
      <alignment horizontal="left" vertical="top" wrapText="1"/>
    </xf>
    <xf numFmtId="0" fontId="39" fillId="0" borderId="10" xfId="0" applyFont="1" applyFill="1" applyBorder="1" applyAlignment="1">
      <alignment horizontal="left" vertical="top" wrapText="1"/>
    </xf>
    <xf numFmtId="0" fontId="22" fillId="5" borderId="7" xfId="4" applyFont="1" applyFill="1" applyBorder="1" applyAlignment="1" applyProtection="1">
      <alignment horizontal="center" vertical="center" wrapText="1"/>
    </xf>
    <xf numFmtId="0" fontId="26" fillId="4" borderId="14" xfId="0" applyFont="1" applyFill="1" applyBorder="1" applyAlignment="1">
      <alignment horizontal="left" vertical="top" wrapText="1"/>
    </xf>
    <xf numFmtId="0" fontId="26" fillId="4" borderId="32" xfId="0" applyFont="1" applyFill="1" applyBorder="1" applyAlignment="1">
      <alignment horizontal="left" vertical="top" wrapText="1"/>
    </xf>
    <xf numFmtId="0" fontId="26" fillId="4" borderId="33" xfId="0" applyFont="1" applyFill="1" applyBorder="1" applyAlignment="1">
      <alignment horizontal="left" vertical="top" wrapText="1"/>
    </xf>
    <xf numFmtId="0" fontId="10" fillId="4" borderId="8" xfId="0" applyFont="1" applyFill="1" applyBorder="1" applyAlignment="1">
      <alignment horizontal="center" vertical="center" wrapText="1"/>
    </xf>
    <xf numFmtId="0" fontId="10" fillId="4" borderId="10"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10" fillId="5" borderId="13" xfId="0" applyFont="1" applyFill="1" applyBorder="1" applyAlignment="1">
      <alignment horizontal="center" vertical="center" wrapText="1"/>
    </xf>
    <xf numFmtId="0" fontId="10" fillId="5" borderId="32" xfId="0" applyFont="1" applyFill="1" applyBorder="1" applyAlignment="1">
      <alignment horizontal="center" vertical="center" wrapText="1"/>
    </xf>
    <xf numFmtId="0" fontId="10" fillId="5" borderId="24" xfId="0" applyFont="1" applyFill="1" applyBorder="1" applyAlignment="1">
      <alignment horizontal="center" vertical="center" wrapText="1"/>
    </xf>
    <xf numFmtId="0" fontId="39" fillId="0" borderId="7" xfId="0" applyFont="1" applyFill="1" applyBorder="1" applyAlignment="1">
      <alignment horizontal="left" vertical="top" wrapText="1"/>
    </xf>
    <xf numFmtId="0" fontId="14" fillId="0" borderId="7" xfId="0" applyFont="1" applyFill="1" applyBorder="1" applyAlignment="1">
      <alignment horizontal="left" vertical="top" wrapText="1"/>
    </xf>
    <xf numFmtId="0" fontId="38" fillId="0" borderId="8" xfId="8" applyFont="1" applyFill="1" applyBorder="1" applyAlignment="1">
      <alignment horizontal="center" vertical="center" wrapText="1"/>
    </xf>
    <xf numFmtId="0" fontId="38" fillId="0" borderId="9" xfId="8" applyFont="1" applyFill="1" applyBorder="1" applyAlignment="1">
      <alignment horizontal="center" vertical="center" wrapText="1"/>
    </xf>
    <xf numFmtId="0" fontId="38" fillId="0" borderId="10" xfId="8" applyFont="1" applyFill="1" applyBorder="1" applyAlignment="1">
      <alignment horizontal="center" vertical="center" wrapText="1"/>
    </xf>
    <xf numFmtId="0" fontId="22" fillId="5" borderId="8" xfId="4" applyFont="1" applyFill="1" applyBorder="1" applyAlignment="1" applyProtection="1">
      <alignment horizontal="center" vertical="center" wrapText="1"/>
    </xf>
    <xf numFmtId="0" fontId="22" fillId="5" borderId="9" xfId="4" applyFont="1" applyFill="1" applyBorder="1" applyAlignment="1" applyProtection="1">
      <alignment horizontal="center" vertical="center" wrapText="1"/>
    </xf>
    <xf numFmtId="0" fontId="22" fillId="5" borderId="10" xfId="4" applyFont="1" applyFill="1" applyBorder="1" applyAlignment="1" applyProtection="1">
      <alignment horizontal="center" vertical="center" wrapText="1"/>
    </xf>
    <xf numFmtId="0" fontId="39" fillId="0" borderId="7" xfId="0" applyFont="1" applyFill="1" applyBorder="1" applyAlignment="1">
      <alignment horizontal="center" vertical="top" wrapText="1"/>
    </xf>
    <xf numFmtId="0" fontId="38" fillId="0" borderId="7" xfId="8" applyFont="1" applyFill="1" applyBorder="1" applyAlignment="1">
      <alignment horizontal="center" vertical="center" wrapText="1"/>
    </xf>
    <xf numFmtId="0" fontId="30" fillId="0" borderId="11" xfId="8" applyFont="1" applyFill="1" applyBorder="1" applyAlignment="1">
      <alignment horizontal="center" vertical="top" wrapText="1"/>
    </xf>
    <xf numFmtId="0" fontId="30" fillId="0" borderId="12" xfId="8" applyFont="1" applyFill="1" applyBorder="1" applyAlignment="1">
      <alignment horizontal="center" vertical="top" wrapText="1"/>
    </xf>
    <xf numFmtId="0" fontId="30" fillId="0" borderId="13" xfId="8" applyFont="1" applyFill="1" applyBorder="1" applyAlignment="1">
      <alignment horizontal="center" vertical="top" wrapText="1"/>
    </xf>
    <xf numFmtId="9" fontId="30" fillId="0" borderId="11" xfId="15" applyFont="1" applyFill="1" applyBorder="1" applyAlignment="1">
      <alignment horizontal="center" vertical="top" wrapText="1"/>
    </xf>
    <xf numFmtId="9" fontId="30" fillId="0" borderId="12" xfId="15" applyFont="1" applyFill="1" applyBorder="1" applyAlignment="1">
      <alignment horizontal="center" vertical="top" wrapText="1"/>
    </xf>
    <xf numFmtId="9" fontId="30" fillId="0" borderId="13" xfId="15" applyFont="1" applyFill="1" applyBorder="1" applyAlignment="1">
      <alignment horizontal="center" vertical="top" wrapText="1"/>
    </xf>
    <xf numFmtId="0" fontId="10" fillId="5" borderId="7" xfId="0" applyFont="1" applyFill="1" applyBorder="1" applyAlignment="1">
      <alignment horizontal="center" vertical="center" wrapText="1"/>
    </xf>
    <xf numFmtId="0" fontId="11" fillId="0" borderId="7" xfId="0" applyFont="1" applyFill="1" applyBorder="1" applyAlignment="1">
      <alignment horizontal="left" vertical="top" wrapText="1"/>
    </xf>
    <xf numFmtId="0" fontId="11" fillId="0" borderId="7" xfId="0" applyFont="1" applyFill="1" applyBorder="1" applyAlignment="1">
      <alignment horizontal="left" vertical="top"/>
    </xf>
    <xf numFmtId="0" fontId="3" fillId="0" borderId="7" xfId="4" applyFill="1" applyBorder="1" applyAlignment="1" applyProtection="1">
      <alignment horizontal="center" vertical="top" wrapText="1"/>
    </xf>
    <xf numFmtId="0" fontId="11" fillId="4" borderId="11" xfId="0" applyFont="1" applyFill="1" applyBorder="1" applyAlignment="1">
      <alignment horizontal="center" vertical="top" wrapText="1"/>
    </xf>
    <xf numFmtId="9" fontId="14" fillId="0" borderId="7" xfId="0" applyNumberFormat="1" applyFont="1" applyFill="1" applyBorder="1" applyAlignment="1">
      <alignment horizontal="center" vertical="top" wrapText="1"/>
    </xf>
    <xf numFmtId="0" fontId="14" fillId="0" borderId="7" xfId="0" applyFont="1" applyFill="1" applyBorder="1" applyAlignment="1">
      <alignment horizontal="center" vertical="top" wrapText="1"/>
    </xf>
    <xf numFmtId="0" fontId="10" fillId="5" borderId="8" xfId="0" applyFont="1" applyFill="1" applyBorder="1" applyAlignment="1">
      <alignment horizontal="center" vertical="center"/>
    </xf>
    <xf numFmtId="0" fontId="10" fillId="5" borderId="9" xfId="0" applyFont="1" applyFill="1" applyBorder="1" applyAlignment="1">
      <alignment horizontal="center" vertical="center"/>
    </xf>
    <xf numFmtId="0" fontId="10" fillId="5" borderId="10" xfId="0" applyFont="1" applyFill="1" applyBorder="1" applyAlignment="1">
      <alignment horizontal="center" vertical="center"/>
    </xf>
    <xf numFmtId="0" fontId="13" fillId="5" borderId="7"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13" fillId="5" borderId="14" xfId="0" applyFont="1" applyFill="1" applyBorder="1" applyAlignment="1">
      <alignment horizontal="center" vertical="center" wrapText="1"/>
    </xf>
    <xf numFmtId="0" fontId="13" fillId="5" borderId="15" xfId="0" applyFont="1" applyFill="1" applyBorder="1" applyAlignment="1">
      <alignment horizontal="center" vertical="center" wrapText="1"/>
    </xf>
    <xf numFmtId="0" fontId="11" fillId="4" borderId="14" xfId="0" applyFont="1" applyFill="1" applyBorder="1" applyAlignment="1">
      <alignment horizontal="center" vertical="top" wrapText="1"/>
    </xf>
    <xf numFmtId="0" fontId="11" fillId="4" borderId="15" xfId="0" applyFont="1" applyFill="1" applyBorder="1" applyAlignment="1">
      <alignment horizontal="center" vertical="top" wrapText="1"/>
    </xf>
    <xf numFmtId="0" fontId="11" fillId="4" borderId="32" xfId="0" applyFont="1" applyFill="1" applyBorder="1" applyAlignment="1">
      <alignment horizontal="center" vertical="top" wrapText="1"/>
    </xf>
    <xf numFmtId="0" fontId="11" fillId="4" borderId="24" xfId="0" applyFont="1" applyFill="1" applyBorder="1" applyAlignment="1">
      <alignment horizontal="center" vertical="top" wrapText="1"/>
    </xf>
    <xf numFmtId="0" fontId="11" fillId="4" borderId="33" xfId="0" applyFont="1" applyFill="1" applyBorder="1" applyAlignment="1">
      <alignment horizontal="center" vertical="top" wrapText="1"/>
    </xf>
    <xf numFmtId="0" fontId="11" fillId="4" borderId="34" xfId="0" applyFont="1" applyFill="1" applyBorder="1" applyAlignment="1">
      <alignment horizontal="center" vertical="top" wrapText="1"/>
    </xf>
    <xf numFmtId="0" fontId="16" fillId="5" borderId="7" xfId="0" applyFont="1" applyFill="1" applyBorder="1" applyAlignment="1">
      <alignment horizontal="center" vertical="center" wrapText="1"/>
    </xf>
    <xf numFmtId="0" fontId="9" fillId="0" borderId="7" xfId="0" applyFont="1" applyFill="1" applyBorder="1" applyAlignment="1">
      <alignment horizontal="justify" vertical="top" wrapText="1"/>
    </xf>
    <xf numFmtId="0" fontId="9" fillId="0" borderId="7" xfId="0" applyFont="1" applyFill="1" applyBorder="1" applyAlignment="1">
      <alignment horizontal="left" vertical="top" wrapText="1"/>
    </xf>
    <xf numFmtId="9" fontId="10" fillId="4" borderId="11" xfId="22" applyFont="1" applyFill="1" applyBorder="1" applyAlignment="1">
      <alignment horizontal="center" vertical="top" wrapText="1"/>
    </xf>
    <xf numFmtId="9" fontId="10" fillId="4" borderId="12" xfId="22" applyFont="1" applyFill="1" applyBorder="1" applyAlignment="1">
      <alignment horizontal="center" vertical="top" wrapText="1"/>
    </xf>
    <xf numFmtId="9" fontId="10" fillId="4" borderId="13" xfId="22" applyFont="1" applyFill="1" applyBorder="1" applyAlignment="1">
      <alignment horizontal="center" vertical="top" wrapText="1"/>
    </xf>
    <xf numFmtId="0" fontId="26" fillId="4" borderId="11" xfId="0" applyFont="1" applyFill="1" applyBorder="1" applyAlignment="1">
      <alignment horizontal="left" vertical="top" wrapText="1"/>
    </xf>
    <xf numFmtId="0" fontId="26" fillId="4" borderId="12" xfId="0" applyFont="1" applyFill="1" applyBorder="1" applyAlignment="1">
      <alignment horizontal="left" vertical="top" wrapText="1"/>
    </xf>
    <xf numFmtId="0" fontId="26" fillId="4" borderId="13" xfId="0" applyFont="1" applyFill="1" applyBorder="1" applyAlignment="1">
      <alignment horizontal="left" vertical="top" wrapText="1"/>
    </xf>
    <xf numFmtId="0" fontId="25" fillId="4" borderId="11" xfId="0" applyFont="1" applyFill="1" applyBorder="1" applyAlignment="1">
      <alignment horizontal="left" vertical="top" wrapText="1"/>
    </xf>
    <xf numFmtId="9" fontId="107" fillId="4" borderId="11" xfId="0" applyNumberFormat="1" applyFont="1" applyFill="1" applyBorder="1" applyAlignment="1">
      <alignment horizontal="center" vertical="top" wrapText="1"/>
    </xf>
    <xf numFmtId="0" fontId="107" fillId="4" borderId="12" xfId="0" applyFont="1" applyFill="1" applyBorder="1" applyAlignment="1">
      <alignment horizontal="center" vertical="top" wrapText="1"/>
    </xf>
    <xf numFmtId="0" fontId="107" fillId="4" borderId="13" xfId="0" applyFont="1" applyFill="1" applyBorder="1" applyAlignment="1">
      <alignment horizontal="center" vertical="top" wrapText="1"/>
    </xf>
    <xf numFmtId="0" fontId="90" fillId="4" borderId="11" xfId="0" applyFont="1" applyFill="1" applyBorder="1" applyAlignment="1">
      <alignment horizontal="center" vertical="top" wrapText="1"/>
    </xf>
    <xf numFmtId="0" fontId="90" fillId="4" borderId="12" xfId="0" applyFont="1" applyFill="1" applyBorder="1" applyAlignment="1">
      <alignment horizontal="center" vertical="top" wrapText="1"/>
    </xf>
    <xf numFmtId="0" fontId="90" fillId="4" borderId="13" xfId="0" applyFont="1" applyFill="1" applyBorder="1" applyAlignment="1">
      <alignment horizontal="center" vertical="top" wrapText="1"/>
    </xf>
    <xf numFmtId="0" fontId="90" fillId="4" borderId="7" xfId="0" applyFont="1" applyFill="1" applyBorder="1" applyAlignment="1">
      <alignment horizontal="center" vertical="top" wrapText="1"/>
    </xf>
    <xf numFmtId="0" fontId="92" fillId="28" borderId="7" xfId="0" applyFont="1" applyFill="1" applyBorder="1" applyAlignment="1">
      <alignment horizontal="center" vertical="center" wrapText="1"/>
    </xf>
    <xf numFmtId="0" fontId="92" fillId="28" borderId="11" xfId="0" applyFont="1" applyFill="1" applyBorder="1" applyAlignment="1">
      <alignment horizontal="center" vertical="center" wrapText="1"/>
    </xf>
    <xf numFmtId="0" fontId="92" fillId="28" borderId="12" xfId="0" applyFont="1" applyFill="1" applyBorder="1" applyAlignment="1">
      <alignment horizontal="center" vertical="center" wrapText="1"/>
    </xf>
    <xf numFmtId="0" fontId="92" fillId="28" borderId="14" xfId="0" applyFont="1" applyFill="1" applyBorder="1" applyAlignment="1">
      <alignment horizontal="center" vertical="center" wrapText="1"/>
    </xf>
    <xf numFmtId="0" fontId="92" fillId="28" borderId="15" xfId="0" applyFont="1" applyFill="1" applyBorder="1" applyAlignment="1">
      <alignment horizontal="center" vertical="center" wrapText="1"/>
    </xf>
    <xf numFmtId="9" fontId="116" fillId="0" borderId="7" xfId="0" applyNumberFormat="1" applyFont="1" applyFill="1" applyBorder="1" applyAlignment="1">
      <alignment horizontal="center" vertical="top" wrapText="1"/>
    </xf>
    <xf numFmtId="0" fontId="116" fillId="0" borderId="7" xfId="0" applyFont="1" applyFill="1" applyBorder="1" applyAlignment="1">
      <alignment horizontal="center" vertical="top" wrapText="1"/>
    </xf>
    <xf numFmtId="0" fontId="105" fillId="28" borderId="32" xfId="0" applyFont="1" applyFill="1" applyBorder="1" applyAlignment="1">
      <alignment horizontal="center" vertical="center"/>
    </xf>
    <xf numFmtId="0" fontId="105" fillId="28" borderId="0" xfId="0" applyFont="1" applyFill="1" applyBorder="1" applyAlignment="1">
      <alignment horizontal="center" vertical="center"/>
    </xf>
    <xf numFmtId="0" fontId="30" fillId="0" borderId="7" xfId="0" applyFont="1" applyFill="1" applyBorder="1" applyAlignment="1">
      <alignment horizontal="left" vertical="top" wrapText="1"/>
    </xf>
    <xf numFmtId="0" fontId="25" fillId="0" borderId="14" xfId="0" applyFont="1" applyFill="1" applyBorder="1" applyAlignment="1">
      <alignment horizontal="left" vertical="top" wrapText="1"/>
    </xf>
    <xf numFmtId="0" fontId="25" fillId="0" borderId="31" xfId="0" applyFont="1" applyFill="1" applyBorder="1" applyAlignment="1">
      <alignment horizontal="left" vertical="top" wrapText="1"/>
    </xf>
    <xf numFmtId="0" fontId="25" fillId="0" borderId="15" xfId="0" applyFont="1" applyFill="1" applyBorder="1" applyAlignment="1">
      <alignment horizontal="left" vertical="top" wrapText="1"/>
    </xf>
    <xf numFmtId="0" fontId="25" fillId="0" borderId="32" xfId="0" applyFont="1" applyFill="1" applyBorder="1" applyAlignment="1">
      <alignment horizontal="left" vertical="top" wrapText="1"/>
    </xf>
    <xf numFmtId="0" fontId="25" fillId="0" borderId="0" xfId="0" applyFont="1" applyFill="1" applyBorder="1" applyAlignment="1">
      <alignment horizontal="left" vertical="top" wrapText="1"/>
    </xf>
    <xf numFmtId="0" fontId="25" fillId="0" borderId="24" xfId="0" applyFont="1" applyFill="1" applyBorder="1" applyAlignment="1">
      <alignment horizontal="left" vertical="top" wrapText="1"/>
    </xf>
    <xf numFmtId="0" fontId="25" fillId="0" borderId="33" xfId="0" applyFont="1" applyFill="1" applyBorder="1" applyAlignment="1">
      <alignment horizontal="left" vertical="top" wrapText="1"/>
    </xf>
    <xf numFmtId="0" fontId="25" fillId="0" borderId="16" xfId="0" applyFont="1" applyFill="1" applyBorder="1" applyAlignment="1">
      <alignment horizontal="left" vertical="top" wrapText="1"/>
    </xf>
    <xf numFmtId="0" fontId="25" fillId="0" borderId="34" xfId="0" applyFont="1" applyFill="1" applyBorder="1" applyAlignment="1">
      <alignment horizontal="left" vertical="top" wrapText="1"/>
    </xf>
    <xf numFmtId="0" fontId="17" fillId="5" borderId="7" xfId="8" applyFont="1" applyFill="1" applyBorder="1" applyAlignment="1">
      <alignment horizontal="center" vertical="center" wrapText="1"/>
    </xf>
    <xf numFmtId="0" fontId="17" fillId="5" borderId="33" xfId="8" applyFont="1" applyFill="1" applyBorder="1" applyAlignment="1">
      <alignment horizontal="center" vertical="center" wrapText="1"/>
    </xf>
    <xf numFmtId="0" fontId="17" fillId="5" borderId="16" xfId="8" applyFont="1" applyFill="1" applyBorder="1" applyAlignment="1">
      <alignment horizontal="center" vertical="center" wrapText="1"/>
    </xf>
    <xf numFmtId="0" fontId="10" fillId="5" borderId="0" xfId="0" applyFont="1" applyFill="1" applyBorder="1" applyAlignment="1">
      <alignment horizontal="center" vertical="center" wrapText="1"/>
    </xf>
    <xf numFmtId="0" fontId="41" fillId="5" borderId="7" xfId="0" applyFont="1" applyFill="1" applyBorder="1" applyAlignment="1">
      <alignment horizontal="center" vertical="center" wrapText="1"/>
    </xf>
    <xf numFmtId="0" fontId="17" fillId="0" borderId="7" xfId="8" applyFont="1" applyFill="1" applyBorder="1" applyAlignment="1">
      <alignment horizontal="center" vertical="center" wrapText="1"/>
    </xf>
    <xf numFmtId="0" fontId="37" fillId="0" borderId="8" xfId="0" applyFont="1" applyFill="1" applyBorder="1" applyAlignment="1">
      <alignment horizontal="left" vertical="top" wrapText="1"/>
    </xf>
    <xf numFmtId="0" fontId="37" fillId="0" borderId="9" xfId="0" applyFont="1" applyFill="1" applyBorder="1" applyAlignment="1">
      <alignment horizontal="left" vertical="top" wrapText="1"/>
    </xf>
    <xf numFmtId="0" fontId="37" fillId="0" borderId="10" xfId="0" applyFont="1" applyFill="1" applyBorder="1" applyAlignment="1">
      <alignment horizontal="left" vertical="top" wrapText="1"/>
    </xf>
    <xf numFmtId="0" fontId="10" fillId="4" borderId="32" xfId="0" applyFont="1" applyFill="1" applyBorder="1" applyAlignment="1">
      <alignment horizontal="center" vertical="top" wrapText="1"/>
    </xf>
    <xf numFmtId="0" fontId="10" fillId="4" borderId="24" xfId="0" applyFont="1" applyFill="1" applyBorder="1" applyAlignment="1">
      <alignment horizontal="center" vertical="top" wrapText="1"/>
    </xf>
    <xf numFmtId="0" fontId="22" fillId="5" borderId="8" xfId="4" applyFont="1" applyFill="1" applyBorder="1" applyAlignment="1" applyProtection="1">
      <alignment horizontal="center" vertical="top" wrapText="1"/>
    </xf>
    <xf numFmtId="0" fontId="22" fillId="5" borderId="9" xfId="4" applyFont="1" applyFill="1" applyBorder="1" applyAlignment="1" applyProtection="1">
      <alignment horizontal="center" vertical="top" wrapText="1"/>
    </xf>
    <xf numFmtId="0" fontId="22" fillId="5" borderId="10" xfId="4" applyFont="1" applyFill="1" applyBorder="1" applyAlignment="1" applyProtection="1">
      <alignment horizontal="center" vertical="top" wrapText="1"/>
    </xf>
    <xf numFmtId="0" fontId="3" fillId="4" borderId="11" xfId="4" applyFill="1" applyBorder="1" applyAlignment="1" applyProtection="1">
      <alignment horizontal="center" vertical="top" wrapText="1"/>
    </xf>
    <xf numFmtId="0" fontId="3" fillId="4" borderId="12" xfId="4" applyFill="1" applyBorder="1" applyAlignment="1" applyProtection="1">
      <alignment horizontal="center" vertical="top" wrapText="1"/>
    </xf>
    <xf numFmtId="0" fontId="3" fillId="4" borderId="13" xfId="4" applyFill="1" applyBorder="1" applyAlignment="1" applyProtection="1">
      <alignment horizontal="center" vertical="top" wrapText="1"/>
    </xf>
    <xf numFmtId="0" fontId="14" fillId="0" borderId="11" xfId="0" applyFont="1" applyFill="1" applyBorder="1" applyAlignment="1">
      <alignment horizontal="center" vertical="top" wrapText="1"/>
    </xf>
    <xf numFmtId="0" fontId="14" fillId="0" borderId="12" xfId="0" applyFont="1" applyFill="1" applyBorder="1" applyAlignment="1">
      <alignment horizontal="center" vertical="top" wrapText="1"/>
    </xf>
    <xf numFmtId="0" fontId="14" fillId="0" borderId="13" xfId="0" applyFont="1" applyFill="1" applyBorder="1" applyAlignment="1">
      <alignment horizontal="center" vertical="top" wrapText="1"/>
    </xf>
    <xf numFmtId="0" fontId="11" fillId="4" borderId="13" xfId="0" applyFont="1" applyFill="1" applyBorder="1" applyAlignment="1">
      <alignment horizontal="center" vertical="top" wrapText="1"/>
    </xf>
    <xf numFmtId="0" fontId="14" fillId="0" borderId="17" xfId="0" applyFont="1" applyFill="1" applyBorder="1" applyAlignment="1">
      <alignment horizontal="center" vertical="top" wrapText="1"/>
    </xf>
    <xf numFmtId="0" fontId="14" fillId="0" borderId="20" xfId="0" applyFont="1" applyFill="1" applyBorder="1" applyAlignment="1">
      <alignment horizontal="center" vertical="top" wrapText="1"/>
    </xf>
    <xf numFmtId="0" fontId="14" fillId="0" borderId="21" xfId="0" applyFont="1" applyFill="1" applyBorder="1" applyAlignment="1">
      <alignment horizontal="center" vertical="top" wrapText="1"/>
    </xf>
    <xf numFmtId="0" fontId="25" fillId="0" borderId="7" xfId="0" applyFont="1" applyFill="1" applyBorder="1" applyAlignment="1">
      <alignment horizontal="left" wrapText="1"/>
    </xf>
    <xf numFmtId="0" fontId="25" fillId="0" borderId="7" xfId="0" applyFont="1" applyFill="1" applyBorder="1" applyAlignment="1">
      <alignment horizontal="center" vertical="top" wrapText="1"/>
    </xf>
    <xf numFmtId="0" fontId="8" fillId="0" borderId="7" xfId="0" applyFont="1" applyFill="1" applyBorder="1" applyAlignment="1">
      <alignment horizontal="justify" vertical="top" wrapText="1"/>
    </xf>
    <xf numFmtId="0" fontId="8" fillId="0" borderId="7" xfId="0" applyFont="1" applyFill="1" applyBorder="1" applyAlignment="1">
      <alignment horizontal="left" vertical="top" wrapText="1"/>
    </xf>
    <xf numFmtId="9" fontId="22" fillId="5" borderId="7" xfId="4" applyNumberFormat="1" applyFont="1" applyFill="1" applyBorder="1" applyAlignment="1" applyProtection="1">
      <alignment horizontal="center" vertical="center" wrapText="1"/>
    </xf>
    <xf numFmtId="0" fontId="10" fillId="5" borderId="7" xfId="0" applyFont="1" applyFill="1" applyBorder="1" applyAlignment="1">
      <alignment horizontal="center" vertical="center"/>
    </xf>
    <xf numFmtId="0" fontId="11" fillId="4" borderId="8" xfId="0" applyFont="1" applyFill="1" applyBorder="1" applyAlignment="1">
      <alignment horizontal="justify" vertical="top" wrapText="1"/>
    </xf>
    <xf numFmtId="0" fontId="10" fillId="5" borderId="12" xfId="0" applyFont="1" applyFill="1" applyBorder="1" applyAlignment="1">
      <alignment horizontal="center" vertical="center" wrapText="1"/>
    </xf>
    <xf numFmtId="0" fontId="17" fillId="5" borderId="11" xfId="8" applyFont="1" applyFill="1" applyBorder="1" applyAlignment="1">
      <alignment horizontal="center" vertical="center" wrapText="1"/>
    </xf>
    <xf numFmtId="0" fontId="17" fillId="5" borderId="12" xfId="8" applyFont="1" applyFill="1" applyBorder="1" applyAlignment="1">
      <alignment horizontal="center" vertical="center" wrapText="1"/>
    </xf>
    <xf numFmtId="0" fontId="17" fillId="5" borderId="13" xfId="8" applyFont="1" applyFill="1" applyBorder="1" applyAlignment="1">
      <alignment horizontal="center" vertical="center" wrapText="1"/>
    </xf>
    <xf numFmtId="9" fontId="4" fillId="4" borderId="11" xfId="0" applyNumberFormat="1" applyFont="1" applyFill="1" applyBorder="1" applyAlignment="1">
      <alignment horizontal="center" vertical="top" wrapText="1"/>
    </xf>
    <xf numFmtId="9" fontId="4" fillId="4" borderId="12" xfId="0" applyNumberFormat="1" applyFont="1" applyFill="1" applyBorder="1" applyAlignment="1">
      <alignment horizontal="center" vertical="top" wrapText="1"/>
    </xf>
    <xf numFmtId="9" fontId="4" fillId="4" borderId="13" xfId="0" applyNumberFormat="1" applyFont="1" applyFill="1" applyBorder="1" applyAlignment="1">
      <alignment horizontal="center" vertical="top" wrapText="1"/>
    </xf>
    <xf numFmtId="0" fontId="105" fillId="28" borderId="8" xfId="0" applyFont="1" applyFill="1" applyBorder="1" applyAlignment="1">
      <alignment horizontal="center" vertical="center"/>
    </xf>
    <xf numFmtId="0" fontId="105" fillId="28" borderId="9" xfId="0" applyFont="1" applyFill="1" applyBorder="1" applyAlignment="1">
      <alignment horizontal="center" vertical="center"/>
    </xf>
    <xf numFmtId="0" fontId="105" fillId="28" borderId="10" xfId="0" applyFont="1" applyFill="1" applyBorder="1" applyAlignment="1">
      <alignment horizontal="center" vertical="center"/>
    </xf>
    <xf numFmtId="0" fontId="74" fillId="4" borderId="7" xfId="0" applyFont="1" applyFill="1" applyBorder="1" applyAlignment="1">
      <alignment horizontal="justify" vertical="top" wrapText="1"/>
    </xf>
    <xf numFmtId="0" fontId="74" fillId="4" borderId="7" xfId="0" applyFont="1" applyFill="1" applyBorder="1" applyAlignment="1">
      <alignment horizontal="left" vertical="top" wrapText="1"/>
    </xf>
    <xf numFmtId="0" fontId="3" fillId="9" borderId="7" xfId="4" applyFill="1" applyBorder="1" applyAlignment="1" applyProtection="1">
      <alignment horizontal="center" vertical="top" wrapText="1"/>
    </xf>
    <xf numFmtId="0" fontId="17" fillId="0" borderId="7" xfId="0" applyFont="1" applyFill="1" applyBorder="1" applyAlignment="1">
      <alignment horizontal="center" vertical="center" wrapText="1"/>
    </xf>
    <xf numFmtId="14" fontId="25" fillId="4" borderId="7" xfId="5" applyNumberFormat="1" applyFont="1" applyFill="1" applyBorder="1" applyAlignment="1">
      <alignment horizontal="justify" vertical="top" wrapText="1"/>
    </xf>
    <xf numFmtId="164" fontId="25" fillId="4" borderId="7" xfId="5" applyFont="1" applyFill="1" applyBorder="1" applyAlignment="1">
      <alignment horizontal="justify" vertical="top" wrapText="1"/>
    </xf>
    <xf numFmtId="49" fontId="30" fillId="0" borderId="14" xfId="5" applyNumberFormat="1" applyFont="1" applyFill="1" applyBorder="1" applyAlignment="1">
      <alignment horizontal="justify" vertical="top" wrapText="1"/>
    </xf>
    <xf numFmtId="49" fontId="30" fillId="0" borderId="31" xfId="5" applyNumberFormat="1" applyFont="1" applyFill="1" applyBorder="1" applyAlignment="1">
      <alignment horizontal="justify" vertical="top" wrapText="1"/>
    </xf>
    <xf numFmtId="49" fontId="30" fillId="0" borderId="15" xfId="5" applyNumberFormat="1" applyFont="1" applyFill="1" applyBorder="1" applyAlignment="1">
      <alignment horizontal="justify" vertical="top" wrapText="1"/>
    </xf>
    <xf numFmtId="49" fontId="30" fillId="0" borderId="32" xfId="5" applyNumberFormat="1" applyFont="1" applyFill="1" applyBorder="1" applyAlignment="1">
      <alignment horizontal="justify" vertical="top" wrapText="1"/>
    </xf>
    <xf numFmtId="49" fontId="30" fillId="0" borderId="0" xfId="5" applyNumberFormat="1" applyFont="1" applyFill="1" applyBorder="1" applyAlignment="1">
      <alignment horizontal="justify" vertical="top" wrapText="1"/>
    </xf>
    <xf numFmtId="49" fontId="30" fillId="0" borderId="24" xfId="5" applyNumberFormat="1" applyFont="1" applyFill="1" applyBorder="1" applyAlignment="1">
      <alignment horizontal="justify" vertical="top" wrapText="1"/>
    </xf>
    <xf numFmtId="49" fontId="30" fillId="0" borderId="33" xfId="5" applyNumberFormat="1" applyFont="1" applyFill="1" applyBorder="1" applyAlignment="1">
      <alignment horizontal="justify" vertical="top" wrapText="1"/>
    </xf>
    <xf numFmtId="49" fontId="30" fillId="0" borderId="16" xfId="5" applyNumberFormat="1" applyFont="1" applyFill="1" applyBorder="1" applyAlignment="1">
      <alignment horizontal="justify" vertical="top" wrapText="1"/>
    </xf>
    <xf numFmtId="49" fontId="30" fillId="0" borderId="34" xfId="5" applyNumberFormat="1" applyFont="1" applyFill="1" applyBorder="1" applyAlignment="1">
      <alignment horizontal="justify" vertical="top" wrapText="1"/>
    </xf>
    <xf numFmtId="0" fontId="17" fillId="0" borderId="14"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7" fillId="0" borderId="32" xfId="0" applyFont="1" applyFill="1" applyBorder="1" applyAlignment="1">
      <alignment horizontal="center" vertical="center" wrapText="1"/>
    </xf>
    <xf numFmtId="0" fontId="17" fillId="0" borderId="24" xfId="0" applyFont="1" applyFill="1" applyBorder="1" applyAlignment="1">
      <alignment horizontal="center" vertical="center" wrapText="1"/>
    </xf>
    <xf numFmtId="0" fontId="17" fillId="0" borderId="33" xfId="0" applyFont="1" applyFill="1" applyBorder="1" applyAlignment="1">
      <alignment horizontal="center" vertical="center" wrapText="1"/>
    </xf>
    <xf numFmtId="0" fontId="17" fillId="0" borderId="34" xfId="0" applyFont="1" applyFill="1" applyBorder="1" applyAlignment="1">
      <alignment horizontal="center" vertical="center" wrapText="1"/>
    </xf>
    <xf numFmtId="49" fontId="25" fillId="0" borderId="7" xfId="5" applyNumberFormat="1" applyFont="1" applyFill="1" applyBorder="1" applyAlignment="1">
      <alignment horizontal="justify" vertical="top" wrapText="1"/>
    </xf>
    <xf numFmtId="49" fontId="30" fillId="0" borderId="7" xfId="5" applyNumberFormat="1" applyFont="1" applyFill="1" applyBorder="1" applyAlignment="1">
      <alignment horizontal="justify" vertical="top" wrapText="1"/>
    </xf>
    <xf numFmtId="0" fontId="0" fillId="0" borderId="7" xfId="0" applyBorder="1" applyAlignment="1">
      <alignment horizontal="justify" vertical="top"/>
    </xf>
    <xf numFmtId="49" fontId="25" fillId="4" borderId="7" xfId="5" applyNumberFormat="1" applyFont="1" applyFill="1" applyBorder="1" applyAlignment="1">
      <alignment horizontal="justify" vertical="top" wrapText="1"/>
    </xf>
    <xf numFmtId="49" fontId="0" fillId="0" borderId="7" xfId="0" applyNumberFormat="1" applyBorder="1" applyAlignment="1">
      <alignment horizontal="justify" vertical="top"/>
    </xf>
    <xf numFmtId="0" fontId="8" fillId="4" borderId="7" xfId="0" applyFont="1" applyFill="1" applyBorder="1" applyAlignment="1">
      <alignment horizontal="justify" vertical="top"/>
    </xf>
    <xf numFmtId="0" fontId="16" fillId="5" borderId="8" xfId="0" applyFont="1" applyFill="1" applyBorder="1" applyAlignment="1">
      <alignment horizontal="center" vertical="center" wrapText="1"/>
    </xf>
    <xf numFmtId="0" fontId="16" fillId="5" borderId="9" xfId="0" applyFont="1" applyFill="1" applyBorder="1" applyAlignment="1">
      <alignment horizontal="center" vertical="center" wrapText="1"/>
    </xf>
    <xf numFmtId="0" fontId="16" fillId="5" borderId="10" xfId="0" applyFont="1" applyFill="1" applyBorder="1" applyAlignment="1">
      <alignment horizontal="center" vertical="center" wrapText="1"/>
    </xf>
    <xf numFmtId="0" fontId="11" fillId="4" borderId="12" xfId="0" applyFont="1" applyFill="1" applyBorder="1" applyAlignment="1">
      <alignment horizontal="center" vertical="top" wrapText="1"/>
    </xf>
    <xf numFmtId="0" fontId="11" fillId="4" borderId="31" xfId="0" applyFont="1" applyFill="1" applyBorder="1" applyAlignment="1">
      <alignment horizontal="center" vertical="top" wrapText="1"/>
    </xf>
    <xf numFmtId="0" fontId="11" fillId="4" borderId="16" xfId="0" applyFont="1" applyFill="1" applyBorder="1" applyAlignment="1">
      <alignment horizontal="center" vertical="top" wrapText="1"/>
    </xf>
    <xf numFmtId="0" fontId="25" fillId="0" borderId="14" xfId="0" applyFont="1" applyFill="1" applyBorder="1" applyAlignment="1">
      <alignment horizontal="justify" vertical="top" wrapText="1"/>
    </xf>
    <xf numFmtId="0" fontId="25" fillId="0" borderId="31" xfId="0" applyFont="1" applyFill="1" applyBorder="1" applyAlignment="1">
      <alignment horizontal="justify" vertical="top" wrapText="1"/>
    </xf>
    <xf numFmtId="0" fontId="25" fillId="0" borderId="15" xfId="0" applyFont="1" applyFill="1" applyBorder="1" applyAlignment="1">
      <alignment horizontal="justify" vertical="top" wrapText="1"/>
    </xf>
    <xf numFmtId="0" fontId="25" fillId="0" borderId="32" xfId="0" applyFont="1" applyFill="1" applyBorder="1" applyAlignment="1">
      <alignment horizontal="justify" vertical="top" wrapText="1"/>
    </xf>
    <xf numFmtId="0" fontId="25" fillId="0" borderId="0" xfId="0" applyFont="1" applyFill="1" applyBorder="1" applyAlignment="1">
      <alignment horizontal="justify" vertical="top" wrapText="1"/>
    </xf>
    <xf numFmtId="0" fontId="25" fillId="0" borderId="24" xfId="0" applyFont="1" applyFill="1" applyBorder="1" applyAlignment="1">
      <alignment horizontal="justify" vertical="top" wrapText="1"/>
    </xf>
    <xf numFmtId="0" fontId="25" fillId="0" borderId="33" xfId="0" applyFont="1" applyFill="1" applyBorder="1" applyAlignment="1">
      <alignment horizontal="justify" vertical="top" wrapText="1"/>
    </xf>
    <xf numFmtId="0" fontId="25" fillId="0" borderId="16" xfId="0" applyFont="1" applyFill="1" applyBorder="1" applyAlignment="1">
      <alignment horizontal="justify" vertical="top" wrapText="1"/>
    </xf>
    <xf numFmtId="0" fontId="25" fillId="0" borderId="34" xfId="0" applyFont="1" applyFill="1" applyBorder="1" applyAlignment="1">
      <alignment horizontal="justify" vertical="top" wrapText="1"/>
    </xf>
    <xf numFmtId="0" fontId="9" fillId="4" borderId="8" xfId="0" applyFont="1" applyFill="1" applyBorder="1" applyAlignment="1">
      <alignment horizontal="left" vertical="top" wrapText="1"/>
    </xf>
    <xf numFmtId="0" fontId="9" fillId="4" borderId="9" xfId="0" applyFont="1" applyFill="1" applyBorder="1" applyAlignment="1">
      <alignment horizontal="left" vertical="top" wrapText="1"/>
    </xf>
    <xf numFmtId="0" fontId="9" fillId="4" borderId="10" xfId="0" applyFont="1" applyFill="1" applyBorder="1" applyAlignment="1">
      <alignment horizontal="left" vertical="top" wrapText="1"/>
    </xf>
    <xf numFmtId="0" fontId="49" fillId="5" borderId="7" xfId="4" applyFont="1" applyFill="1" applyBorder="1" applyAlignment="1" applyProtection="1">
      <alignment horizontal="center" vertical="center" wrapText="1"/>
    </xf>
    <xf numFmtId="0" fontId="16" fillId="4" borderId="0" xfId="0" applyFont="1" applyFill="1" applyBorder="1" applyAlignment="1">
      <alignment horizontal="center" vertical="top" wrapText="1"/>
    </xf>
    <xf numFmtId="0" fontId="25" fillId="4" borderId="7" xfId="0" applyFont="1" applyFill="1" applyBorder="1" applyAlignment="1">
      <alignment horizontal="center" vertical="center" wrapText="1"/>
    </xf>
    <xf numFmtId="0" fontId="25" fillId="4" borderId="8" xfId="0" applyFont="1" applyFill="1" applyBorder="1" applyAlignment="1">
      <alignment horizontal="justify" vertical="top" wrapText="1"/>
    </xf>
    <xf numFmtId="0" fontId="25" fillId="4" borderId="9" xfId="0" applyFont="1" applyFill="1" applyBorder="1" applyAlignment="1">
      <alignment horizontal="justify" vertical="top" wrapText="1"/>
    </xf>
    <xf numFmtId="0" fontId="25" fillId="4" borderId="10" xfId="0" applyFont="1" applyFill="1" applyBorder="1" applyAlignment="1">
      <alignment horizontal="justify" vertical="top" wrapText="1"/>
    </xf>
    <xf numFmtId="0" fontId="49" fillId="5" borderId="7" xfId="4" quotePrefix="1" applyFont="1" applyFill="1" applyBorder="1" applyAlignment="1" applyProtection="1">
      <alignment horizontal="center" vertical="center" wrapText="1"/>
    </xf>
    <xf numFmtId="9" fontId="25" fillId="4" borderId="7" xfId="0" applyNumberFormat="1" applyFont="1" applyFill="1" applyBorder="1" applyAlignment="1">
      <alignment horizontal="center" vertical="center" wrapText="1"/>
    </xf>
    <xf numFmtId="0" fontId="8" fillId="4" borderId="14" xfId="0" applyFont="1" applyFill="1" applyBorder="1" applyAlignment="1">
      <alignment horizontal="center" vertical="top" wrapText="1"/>
    </xf>
    <xf numFmtId="0" fontId="8" fillId="4" borderId="15" xfId="0" applyFont="1" applyFill="1" applyBorder="1" applyAlignment="1">
      <alignment horizontal="center" vertical="top" wrapText="1"/>
    </xf>
    <xf numFmtId="0" fontId="8" fillId="4" borderId="32" xfId="0" applyFont="1" applyFill="1" applyBorder="1" applyAlignment="1">
      <alignment horizontal="center" vertical="top" wrapText="1"/>
    </xf>
    <xf numFmtId="0" fontId="8" fillId="4" borderId="24" xfId="0" applyFont="1" applyFill="1" applyBorder="1" applyAlignment="1">
      <alignment horizontal="center" vertical="top" wrapText="1"/>
    </xf>
    <xf numFmtId="0" fontId="8" fillId="4" borderId="33" xfId="0" applyFont="1" applyFill="1" applyBorder="1" applyAlignment="1">
      <alignment horizontal="center" vertical="top" wrapText="1"/>
    </xf>
    <xf numFmtId="0" fontId="8" fillId="4" borderId="34" xfId="0" applyFont="1" applyFill="1" applyBorder="1" applyAlignment="1">
      <alignment horizontal="center" vertical="top" wrapText="1"/>
    </xf>
    <xf numFmtId="0" fontId="9" fillId="4" borderId="8" xfId="0" applyFont="1" applyFill="1" applyBorder="1" applyAlignment="1">
      <alignment horizontal="justify" vertical="top" wrapText="1"/>
    </xf>
    <xf numFmtId="0" fontId="9" fillId="4" borderId="9" xfId="0" applyFont="1" applyFill="1" applyBorder="1" applyAlignment="1">
      <alignment horizontal="justify" vertical="top" wrapText="1"/>
    </xf>
    <xf numFmtId="0" fontId="9" fillId="4" borderId="10" xfId="0" applyFont="1" applyFill="1" applyBorder="1" applyAlignment="1">
      <alignment horizontal="justify" vertical="top" wrapText="1"/>
    </xf>
    <xf numFmtId="0" fontId="27" fillId="4" borderId="7" xfId="0" applyFont="1" applyFill="1" applyBorder="1" applyAlignment="1">
      <alignment horizontal="center" vertical="top" wrapText="1"/>
    </xf>
    <xf numFmtId="0" fontId="17" fillId="0" borderId="7" xfId="8" applyFont="1" applyFill="1" applyBorder="1" applyAlignment="1">
      <alignment horizontal="center" vertical="top" wrapText="1"/>
    </xf>
    <xf numFmtId="0" fontId="19" fillId="4" borderId="14" xfId="0" applyFont="1" applyFill="1" applyBorder="1" applyAlignment="1">
      <alignment horizontal="justify" vertical="top" wrapText="1"/>
    </xf>
    <xf numFmtId="0" fontId="19" fillId="4" borderId="15" xfId="0" applyFont="1" applyFill="1" applyBorder="1" applyAlignment="1">
      <alignment horizontal="justify" vertical="top" wrapText="1"/>
    </xf>
    <xf numFmtId="0" fontId="19" fillId="4" borderId="32" xfId="0" applyFont="1" applyFill="1" applyBorder="1" applyAlignment="1">
      <alignment horizontal="justify" vertical="top" wrapText="1"/>
    </xf>
    <xf numFmtId="0" fontId="19" fillId="4" borderId="24" xfId="0" applyFont="1" applyFill="1" applyBorder="1" applyAlignment="1">
      <alignment horizontal="justify" vertical="top" wrapText="1"/>
    </xf>
    <xf numFmtId="0" fontId="19" fillId="4" borderId="33" xfId="0" applyFont="1" applyFill="1" applyBorder="1" applyAlignment="1">
      <alignment horizontal="justify" vertical="top" wrapText="1"/>
    </xf>
    <xf numFmtId="0" fontId="19" fillId="4" borderId="34" xfId="0" applyFont="1" applyFill="1" applyBorder="1" applyAlignment="1">
      <alignment horizontal="justify" vertical="top" wrapText="1"/>
    </xf>
    <xf numFmtId="0" fontId="28" fillId="13" borderId="7" xfId="8" applyFont="1" applyFill="1" applyBorder="1" applyAlignment="1">
      <alignment horizontal="center" vertical="center" wrapText="1"/>
    </xf>
    <xf numFmtId="0" fontId="46" fillId="5" borderId="8" xfId="4" applyFont="1" applyFill="1" applyBorder="1" applyAlignment="1" applyProtection="1">
      <alignment horizontal="center" vertical="center" wrapText="1"/>
    </xf>
    <xf numFmtId="0" fontId="46" fillId="5" borderId="9" xfId="4" applyFont="1" applyFill="1" applyBorder="1" applyAlignment="1" applyProtection="1">
      <alignment horizontal="center" vertical="center" wrapText="1"/>
    </xf>
    <xf numFmtId="0" fontId="46" fillId="5" borderId="10" xfId="4" applyFont="1" applyFill="1" applyBorder="1" applyAlignment="1" applyProtection="1">
      <alignment horizontal="center" vertical="center" wrapText="1"/>
    </xf>
    <xf numFmtId="9" fontId="14" fillId="0" borderId="11" xfId="0" applyNumberFormat="1" applyFont="1" applyFill="1" applyBorder="1" applyAlignment="1">
      <alignment horizontal="center" vertical="top" wrapText="1"/>
    </xf>
    <xf numFmtId="9" fontId="14" fillId="0" borderId="12" xfId="0" applyNumberFormat="1" applyFont="1" applyFill="1" applyBorder="1" applyAlignment="1">
      <alignment horizontal="center" vertical="top" wrapText="1"/>
    </xf>
    <xf numFmtId="9" fontId="14" fillId="0" borderId="13" xfId="0" applyNumberFormat="1" applyFont="1" applyFill="1" applyBorder="1" applyAlignment="1">
      <alignment horizontal="center" vertical="top" wrapText="1"/>
    </xf>
    <xf numFmtId="0" fontId="13" fillId="5" borderId="32" xfId="0" applyFont="1" applyFill="1" applyBorder="1" applyAlignment="1">
      <alignment horizontal="center" vertical="center" wrapText="1"/>
    </xf>
    <xf numFmtId="0" fontId="13" fillId="5" borderId="24" xfId="0" applyFont="1" applyFill="1" applyBorder="1" applyAlignment="1">
      <alignment horizontal="center" vertical="center" wrapText="1"/>
    </xf>
    <xf numFmtId="0" fontId="13" fillId="5" borderId="33" xfId="0" applyFont="1" applyFill="1" applyBorder="1" applyAlignment="1">
      <alignment horizontal="center" vertical="center" wrapText="1"/>
    </xf>
    <xf numFmtId="0" fontId="13" fillId="5" borderId="34" xfId="0" applyFont="1" applyFill="1" applyBorder="1" applyAlignment="1">
      <alignment horizontal="center" vertical="center" wrapText="1"/>
    </xf>
    <xf numFmtId="0" fontId="13" fillId="5" borderId="13" xfId="0" applyFont="1" applyFill="1" applyBorder="1" applyAlignment="1">
      <alignment horizontal="center" vertical="center" wrapText="1"/>
    </xf>
    <xf numFmtId="0" fontId="13"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1" fillId="4" borderId="31" xfId="0" applyFont="1" applyFill="1" applyBorder="1" applyAlignment="1">
      <alignment horizontal="left" vertical="top" wrapText="1"/>
    </xf>
    <xf numFmtId="0" fontId="11" fillId="4" borderId="0" xfId="0" applyFont="1" applyFill="1" applyBorder="1" applyAlignment="1">
      <alignment horizontal="left" vertical="top" wrapText="1"/>
    </xf>
    <xf numFmtId="0" fontId="17" fillId="5" borderId="7" xfId="8" applyFont="1" applyFill="1" applyBorder="1" applyAlignment="1">
      <alignment horizontal="center" vertical="center"/>
    </xf>
    <xf numFmtId="0" fontId="8" fillId="4" borderId="14" xfId="0" applyFont="1" applyFill="1" applyBorder="1" applyAlignment="1">
      <alignment horizontal="left" vertical="top" wrapText="1"/>
    </xf>
    <xf numFmtId="0" fontId="8" fillId="4" borderId="15" xfId="0" applyFont="1" applyFill="1" applyBorder="1" applyAlignment="1">
      <alignment horizontal="left" vertical="top" wrapText="1"/>
    </xf>
    <xf numFmtId="0" fontId="8" fillId="4" borderId="32" xfId="0" applyFont="1" applyFill="1" applyBorder="1" applyAlignment="1">
      <alignment horizontal="left" vertical="top" wrapText="1"/>
    </xf>
    <xf numFmtId="0" fontId="8" fillId="4" borderId="24" xfId="0" applyFont="1" applyFill="1" applyBorder="1" applyAlignment="1">
      <alignment horizontal="left" vertical="top" wrapText="1"/>
    </xf>
    <xf numFmtId="0" fontId="8" fillId="4" borderId="33" xfId="0" applyFont="1" applyFill="1" applyBorder="1" applyAlignment="1">
      <alignment horizontal="left" vertical="top" wrapText="1"/>
    </xf>
    <xf numFmtId="0" fontId="8" fillId="4" borderId="34" xfId="0" applyFont="1" applyFill="1" applyBorder="1" applyAlignment="1">
      <alignment horizontal="left" vertical="top" wrapText="1"/>
    </xf>
    <xf numFmtId="0" fontId="49" fillId="5" borderId="8" xfId="4" applyFont="1" applyFill="1" applyBorder="1" applyAlignment="1" applyProtection="1">
      <alignment horizontal="center" vertical="center" wrapText="1"/>
    </xf>
    <xf numFmtId="0" fontId="49" fillId="5" borderId="9" xfId="4" applyFont="1" applyFill="1" applyBorder="1" applyAlignment="1" applyProtection="1">
      <alignment horizontal="center" vertical="center" wrapText="1"/>
    </xf>
    <xf numFmtId="0" fontId="49" fillId="5" borderId="10" xfId="4" applyFont="1" applyFill="1" applyBorder="1" applyAlignment="1" applyProtection="1">
      <alignment horizontal="center" vertical="center" wrapText="1"/>
    </xf>
    <xf numFmtId="0" fontId="11" fillId="4" borderId="14" xfId="0" applyFont="1" applyFill="1" applyBorder="1" applyAlignment="1">
      <alignment horizontal="justify" vertical="top" wrapText="1"/>
    </xf>
    <xf numFmtId="0" fontId="11" fillId="4" borderId="15" xfId="0" applyFont="1" applyFill="1" applyBorder="1" applyAlignment="1">
      <alignment horizontal="justify" vertical="top" wrapText="1"/>
    </xf>
    <xf numFmtId="0" fontId="11" fillId="4" borderId="32" xfId="0" applyFont="1" applyFill="1" applyBorder="1" applyAlignment="1">
      <alignment horizontal="justify" vertical="top" wrapText="1"/>
    </xf>
    <xf numFmtId="0" fontId="11" fillId="4" borderId="24" xfId="0" applyFont="1" applyFill="1" applyBorder="1" applyAlignment="1">
      <alignment horizontal="justify" vertical="top" wrapText="1"/>
    </xf>
    <xf numFmtId="0" fontId="11" fillId="4" borderId="33" xfId="0" applyFont="1" applyFill="1" applyBorder="1" applyAlignment="1">
      <alignment horizontal="justify" vertical="top" wrapText="1"/>
    </xf>
    <xf numFmtId="0" fontId="11" fillId="4" borderId="34" xfId="0" applyFont="1" applyFill="1" applyBorder="1" applyAlignment="1">
      <alignment horizontal="justify" vertical="top" wrapText="1"/>
    </xf>
    <xf numFmtId="0" fontId="30" fillId="0" borderId="7" xfId="8" applyFont="1" applyFill="1" applyBorder="1" applyAlignment="1">
      <alignment horizontal="justify" vertical="top" wrapText="1"/>
    </xf>
    <xf numFmtId="0" fontId="30" fillId="0" borderId="14" xfId="0" applyFont="1" applyFill="1" applyBorder="1" applyAlignment="1">
      <alignment horizontal="justify" vertical="top" wrapText="1"/>
    </xf>
    <xf numFmtId="0" fontId="30" fillId="0" borderId="31" xfId="0" applyFont="1" applyFill="1" applyBorder="1" applyAlignment="1">
      <alignment horizontal="justify" vertical="top" wrapText="1"/>
    </xf>
    <xf numFmtId="0" fontId="30" fillId="0" borderId="15" xfId="0" applyFont="1" applyFill="1" applyBorder="1" applyAlignment="1">
      <alignment horizontal="justify" vertical="top" wrapText="1"/>
    </xf>
    <xf numFmtId="0" fontId="30" fillId="0" borderId="32" xfId="0" applyFont="1" applyFill="1" applyBorder="1" applyAlignment="1">
      <alignment horizontal="justify" vertical="top" wrapText="1"/>
    </xf>
    <xf numFmtId="0" fontId="30" fillId="0" borderId="0" xfId="0" applyFont="1" applyFill="1" applyBorder="1" applyAlignment="1">
      <alignment horizontal="justify" vertical="top" wrapText="1"/>
    </xf>
    <xf numFmtId="0" fontId="30" fillId="0" borderId="24" xfId="0" applyFont="1" applyFill="1" applyBorder="1" applyAlignment="1">
      <alignment horizontal="justify" vertical="top" wrapText="1"/>
    </xf>
    <xf numFmtId="0" fontId="30" fillId="0" borderId="33" xfId="0" applyFont="1" applyFill="1" applyBorder="1" applyAlignment="1">
      <alignment horizontal="justify" vertical="top" wrapText="1"/>
    </xf>
    <xf numFmtId="0" fontId="30" fillId="0" borderId="16" xfId="0" applyFont="1" applyFill="1" applyBorder="1" applyAlignment="1">
      <alignment horizontal="justify" vertical="top" wrapText="1"/>
    </xf>
    <xf numFmtId="0" fontId="30" fillId="0" borderId="34" xfId="0" applyFont="1" applyFill="1" applyBorder="1" applyAlignment="1">
      <alignment horizontal="justify" vertical="top" wrapText="1"/>
    </xf>
    <xf numFmtId="9" fontId="108" fillId="4" borderId="33" xfId="0" applyNumberFormat="1" applyFont="1" applyFill="1" applyBorder="1" applyAlignment="1">
      <alignment horizontal="center" vertical="top" wrapText="1"/>
    </xf>
    <xf numFmtId="0" fontId="106" fillId="4" borderId="11" xfId="4" applyFont="1" applyFill="1" applyBorder="1" applyAlignment="1" applyProtection="1">
      <alignment horizontal="justify" vertical="top" wrapText="1"/>
    </xf>
    <xf numFmtId="0" fontId="106" fillId="4" borderId="12" xfId="4" applyFont="1" applyFill="1" applyBorder="1" applyAlignment="1" applyProtection="1">
      <alignment horizontal="justify" vertical="top" wrapText="1"/>
    </xf>
    <xf numFmtId="0" fontId="106" fillId="4" borderId="13" xfId="4" applyFont="1" applyFill="1" applyBorder="1" applyAlignment="1" applyProtection="1">
      <alignment horizontal="justify" vertical="top" wrapText="1"/>
    </xf>
    <xf numFmtId="0" fontId="88" fillId="4" borderId="0" xfId="0" applyFont="1" applyFill="1" applyAlignment="1">
      <alignment horizontal="center" vertical="top" wrapText="1"/>
    </xf>
    <xf numFmtId="0" fontId="110" fillId="4" borderId="17" xfId="0" applyFont="1" applyFill="1" applyBorder="1" applyAlignment="1">
      <alignment horizontal="center" vertical="top" wrapText="1"/>
    </xf>
    <xf numFmtId="0" fontId="92" fillId="28" borderId="8" xfId="0" applyFont="1" applyFill="1" applyBorder="1" applyAlignment="1">
      <alignment horizontal="center" vertical="center" wrapText="1"/>
    </xf>
    <xf numFmtId="0" fontId="92" fillId="28" borderId="10" xfId="0" applyFont="1" applyFill="1" applyBorder="1" applyAlignment="1">
      <alignment horizontal="center" vertical="center" wrapText="1"/>
    </xf>
    <xf numFmtId="0" fontId="92" fillId="28" borderId="13" xfId="0" applyFont="1" applyFill="1" applyBorder="1" applyAlignment="1">
      <alignment horizontal="center" vertical="center" wrapText="1"/>
    </xf>
    <xf numFmtId="0" fontId="106" fillId="4" borderId="31" xfId="4" applyFont="1" applyFill="1" applyBorder="1" applyAlignment="1" applyProtection="1">
      <alignment horizontal="left" vertical="top" wrapText="1"/>
    </xf>
    <xf numFmtId="0" fontId="106" fillId="4" borderId="0" xfId="4" applyFont="1" applyFill="1" applyBorder="1" applyAlignment="1" applyProtection="1">
      <alignment horizontal="left" vertical="top" wrapText="1"/>
    </xf>
    <xf numFmtId="0" fontId="89" fillId="4" borderId="11" xfId="2" applyFont="1" applyFill="1" applyBorder="1" applyAlignment="1">
      <alignment horizontal="center" vertical="top" wrapText="1"/>
      <protection locked="0"/>
    </xf>
    <xf numFmtId="0" fontId="89" fillId="4" borderId="12" xfId="2" applyFont="1" applyFill="1" applyBorder="1" applyAlignment="1">
      <alignment horizontal="center" vertical="top" wrapText="1"/>
      <protection locked="0"/>
    </xf>
    <xf numFmtId="0" fontId="89" fillId="4" borderId="13" xfId="2" applyFont="1" applyFill="1" applyBorder="1" applyAlignment="1">
      <alignment horizontal="center" vertical="top" wrapText="1"/>
      <protection locked="0"/>
    </xf>
    <xf numFmtId="0" fontId="92" fillId="28" borderId="32" xfId="0" applyFont="1" applyFill="1" applyBorder="1" applyAlignment="1">
      <alignment horizontal="center" vertical="center" wrapText="1"/>
    </xf>
    <xf numFmtId="0" fontId="92" fillId="28" borderId="24" xfId="0" applyFont="1" applyFill="1" applyBorder="1" applyAlignment="1">
      <alignment horizontal="center" vertical="center" wrapText="1"/>
    </xf>
    <xf numFmtId="0" fontId="92" fillId="28" borderId="33" xfId="0" applyFont="1" applyFill="1" applyBorder="1" applyAlignment="1">
      <alignment horizontal="center" vertical="center" wrapText="1"/>
    </xf>
    <xf numFmtId="0" fontId="92" fillId="28" borderId="34" xfId="0" applyFont="1" applyFill="1" applyBorder="1" applyAlignment="1">
      <alignment horizontal="center" vertical="center" wrapText="1"/>
    </xf>
    <xf numFmtId="0" fontId="92" fillId="28" borderId="9" xfId="0" applyFont="1" applyFill="1" applyBorder="1" applyAlignment="1">
      <alignment horizontal="center" vertical="center" wrapText="1"/>
    </xf>
    <xf numFmtId="0" fontId="106" fillId="4" borderId="11" xfId="4" applyFont="1" applyFill="1" applyBorder="1" applyAlignment="1" applyProtection="1">
      <alignment horizontal="left" vertical="top" wrapText="1"/>
    </xf>
    <xf numFmtId="0" fontId="106" fillId="4" borderId="12" xfId="4" applyFont="1" applyFill="1" applyBorder="1" applyAlignment="1" applyProtection="1">
      <alignment horizontal="left" vertical="top" wrapText="1"/>
    </xf>
    <xf numFmtId="0" fontId="106" fillId="4" borderId="13" xfId="4" applyFont="1" applyFill="1" applyBorder="1" applyAlignment="1" applyProtection="1">
      <alignment horizontal="left" vertical="top" wrapText="1"/>
    </xf>
    <xf numFmtId="0" fontId="90" fillId="4" borderId="15" xfId="0" applyFont="1" applyFill="1" applyBorder="1" applyAlignment="1">
      <alignment horizontal="center" vertical="top" wrapText="1"/>
    </xf>
    <xf numFmtId="0" fontId="90" fillId="4" borderId="24" xfId="0" applyFont="1" applyFill="1" applyBorder="1" applyAlignment="1">
      <alignment horizontal="center" vertical="top" wrapText="1"/>
    </xf>
    <xf numFmtId="0" fontId="90" fillId="4" borderId="34" xfId="0" applyFont="1" applyFill="1" applyBorder="1" applyAlignment="1">
      <alignment horizontal="center" vertical="top" wrapText="1"/>
    </xf>
    <xf numFmtId="0" fontId="12" fillId="0" borderId="31" xfId="0" applyFont="1" applyFill="1" applyBorder="1" applyAlignment="1">
      <alignment horizontal="center" vertical="top" wrapText="1"/>
    </xf>
    <xf numFmtId="0" fontId="12" fillId="0" borderId="0" xfId="0" applyFont="1" applyFill="1" applyBorder="1" applyAlignment="1">
      <alignment horizontal="center" vertical="top" wrapText="1"/>
    </xf>
    <xf numFmtId="0" fontId="12" fillId="0" borderId="7" xfId="0" applyFont="1" applyFill="1" applyBorder="1" applyAlignment="1">
      <alignment horizontal="justify" vertical="top" wrapText="1"/>
    </xf>
    <xf numFmtId="0" fontId="12" fillId="0" borderId="11" xfId="0" applyFont="1" applyFill="1" applyBorder="1" applyAlignment="1">
      <alignment horizontal="left" vertical="top" wrapText="1"/>
    </xf>
    <xf numFmtId="0" fontId="12" fillId="0" borderId="12" xfId="0" applyFont="1" applyFill="1" applyBorder="1" applyAlignment="1">
      <alignment horizontal="left" vertical="top" wrapText="1"/>
    </xf>
    <xf numFmtId="0" fontId="12" fillId="0" borderId="13" xfId="0" applyFont="1" applyFill="1" applyBorder="1" applyAlignment="1">
      <alignment horizontal="left" vertical="top" wrapText="1"/>
    </xf>
    <xf numFmtId="0" fontId="11" fillId="0" borderId="11" xfId="0" applyFont="1" applyBorder="1" applyAlignment="1">
      <alignment horizontal="left" vertical="top" wrapText="1"/>
    </xf>
    <xf numFmtId="0" fontId="11" fillId="0" borderId="12" xfId="0" applyFont="1" applyBorder="1" applyAlignment="1">
      <alignment horizontal="left" vertical="top" wrapText="1"/>
    </xf>
    <xf numFmtId="0" fontId="11" fillId="0" borderId="13" xfId="0" applyFont="1" applyBorder="1" applyAlignment="1">
      <alignment horizontal="left" vertical="top" wrapText="1"/>
    </xf>
    <xf numFmtId="0" fontId="7" fillId="4" borderId="0" xfId="0" applyFont="1" applyFill="1" applyBorder="1" applyAlignment="1">
      <alignment horizontal="left" vertical="center"/>
    </xf>
    <xf numFmtId="0" fontId="17" fillId="4" borderId="7" xfId="0" applyFont="1" applyFill="1" applyBorder="1" applyAlignment="1">
      <alignment horizontal="center" vertical="center"/>
    </xf>
  </cellXfs>
  <cellStyles count="32">
    <cellStyle name="Analisis" xfId="1" xr:uid="{00000000-0005-0000-0000-000000000000}"/>
    <cellStyle name="datos" xfId="2" xr:uid="{00000000-0005-0000-0000-000001000000}"/>
    <cellStyle name="datos 2" xfId="3" xr:uid="{00000000-0005-0000-0000-000002000000}"/>
    <cellStyle name="Euro" xfId="14" xr:uid="{00000000-0005-0000-0000-000003000000}"/>
    <cellStyle name="Euro 2" xfId="20" xr:uid="{00000000-0005-0000-0000-000004000000}"/>
    <cellStyle name="Hipervínculo" xfId="4" builtinId="8"/>
    <cellStyle name="Hipervínculo 2" xfId="24" xr:uid="{00000000-0005-0000-0000-000006000000}"/>
    <cellStyle name="Millares" xfId="5" builtinId="3"/>
    <cellStyle name="Millares 2" xfId="6" xr:uid="{00000000-0005-0000-0000-000008000000}"/>
    <cellStyle name="Millares 2 2" xfId="7" xr:uid="{00000000-0005-0000-0000-000009000000}"/>
    <cellStyle name="Millares 2 3" xfId="29" xr:uid="{00000000-0005-0000-0000-00000A000000}"/>
    <cellStyle name="Millares 3" xfId="30" xr:uid="{00000000-0005-0000-0000-00000B000000}"/>
    <cellStyle name="Millares 4" xfId="25" xr:uid="{00000000-0005-0000-0000-00000C000000}"/>
    <cellStyle name="Moneda [0]" xfId="31" builtinId="7"/>
    <cellStyle name="Normal" xfId="0" builtinId="0"/>
    <cellStyle name="Normal 2" xfId="8" xr:uid="{00000000-0005-0000-0000-00000E000000}"/>
    <cellStyle name="Normal 2 2" xfId="9" xr:uid="{00000000-0005-0000-0000-00000F000000}"/>
    <cellStyle name="Normal 3" xfId="16" xr:uid="{00000000-0005-0000-0000-000010000000}"/>
    <cellStyle name="Normal 3 2" xfId="27" xr:uid="{00000000-0005-0000-0000-000011000000}"/>
    <cellStyle name="Normal 4" xfId="18" xr:uid="{00000000-0005-0000-0000-000012000000}"/>
    <cellStyle name="Normal 5" xfId="23" xr:uid="{00000000-0005-0000-0000-000013000000}"/>
    <cellStyle name="Porcentaje" xfId="22" builtinId="5"/>
    <cellStyle name="Porcentaje 2" xfId="15" xr:uid="{00000000-0005-0000-0000-000015000000}"/>
    <cellStyle name="Porcentaje 2 2" xfId="28" xr:uid="{00000000-0005-0000-0000-000016000000}"/>
    <cellStyle name="Porcentaje 3" xfId="21" xr:uid="{00000000-0005-0000-0000-000017000000}"/>
    <cellStyle name="Porcentaje 4" xfId="26" xr:uid="{00000000-0005-0000-0000-000018000000}"/>
    <cellStyle name="Porcentual 2" xfId="10" xr:uid="{00000000-0005-0000-0000-000019000000}"/>
    <cellStyle name="Porcentual 2 2" xfId="11" xr:uid="{00000000-0005-0000-0000-00001A000000}"/>
    <cellStyle name="Porcentual 3" xfId="17" xr:uid="{00000000-0005-0000-0000-00001B000000}"/>
    <cellStyle name="Porcentual 4" xfId="19" xr:uid="{00000000-0005-0000-0000-00001C000000}"/>
    <cellStyle name="SAPBEXstdData" xfId="12" xr:uid="{00000000-0005-0000-0000-00001D000000}"/>
    <cellStyle name="Titulo" xfId="13" xr:uid="{00000000-0005-0000-0000-00001E000000}"/>
  </cellStyles>
  <dxfs count="20">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s>
  <tableStyles count="0" defaultTableStyle="TableStyleMedium9" defaultPivotStyle="PivotStyleLight16"/>
  <colors>
    <mruColors>
      <color rgb="FF009900"/>
      <color rgb="FF99FFCC"/>
      <color rgb="FF008000"/>
      <color rgb="FF66FF99"/>
      <color rgb="FF000000"/>
      <color rgb="FF006600"/>
      <color rgb="FF007E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externalLink" Target="externalLinks/externalLink5.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10.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24.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25.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26.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27.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28.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29.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s-CO" sz="2000">
                <a:solidFill>
                  <a:schemeClr val="bg1"/>
                </a:solidFill>
              </a:rPr>
              <a:t>4. Porcentaje (%) de Acciones Correctivas y de Mejora Establecidad Eficazmente por Proceso</a:t>
            </a:r>
          </a:p>
        </c:rich>
      </c:tx>
      <c:layout>
        <c:manualLayout>
          <c:xMode val="edge"/>
          <c:yMode val="edge"/>
          <c:x val="0.17218119662863188"/>
          <c:y val="1.5135137711877031E-2"/>
        </c:manualLayout>
      </c:layout>
      <c:overlay val="0"/>
      <c:spPr>
        <a:solidFill>
          <a:schemeClr val="accent5">
            <a:lumMod val="75000"/>
          </a:schemeClr>
        </a:solid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es-CO"/>
        </a:p>
      </c:txPr>
    </c:title>
    <c:autoTitleDeleted val="0"/>
    <c:plotArea>
      <c:layout/>
      <c:scatterChart>
        <c:scatterStyle val="line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'Hoja 9. FC-4'!#REF!</c:f>
            </c:numRef>
          </c:xVal>
          <c:yVal>
            <c:numRef>
              <c:f>'Hoja 9. FC-4'!#REF!</c:f>
              <c:numCache>
                <c:formatCode>General</c:formatCode>
                <c:ptCount val="1"/>
                <c:pt idx="0">
                  <c:v>1</c:v>
                </c:pt>
              </c:numCache>
            </c:numRef>
          </c:yVal>
          <c:smooth val="0"/>
          <c:extLst>
            <c:ext xmlns:c15="http://schemas.microsoft.com/office/drawing/2012/chart" uri="{02D57815-91ED-43cb-92C2-25804820EDAC}">
              <c15:filteredSeriesTitle>
                <c15:tx>
                  <c:strRef>
                    <c:extLst xmlns:c16="http://schemas.microsoft.com/office/drawing/2014/chart">
                      <c:ext uri="{02D57815-91ED-43cb-92C2-25804820EDAC}">
                        <c15:formulaRef>
                          <c15:sqref>'Hoja 9. FC-4'!#REF!</c15:sqref>
                        </c15:formulaRef>
                      </c:ext>
                    </c:extLst>
                    <c:strCache>
                      <c:ptCount val="1"/>
                      <c:pt idx="0">
                        <c:v>#REF!</c:v>
                      </c:pt>
                    </c:strCache>
                  </c:strRef>
                </c15:tx>
              </c15:filteredSeriesTitle>
            </c:ext>
            <c:ext xmlns:c16="http://schemas.microsoft.com/office/drawing/2014/chart" uri="{C3380CC4-5D6E-409C-BE32-E72D297353CC}">
              <c16:uniqueId val="{00000000-3DD1-4DE7-9891-560030C14407}"/>
            </c:ext>
          </c:extLst>
        </c:ser>
        <c:ser>
          <c:idx val="1"/>
          <c:order val="1"/>
          <c:spPr>
            <a:ln w="19050" cap="rnd">
              <a:solidFill>
                <a:schemeClr val="accent2"/>
              </a:solidFill>
              <a:round/>
            </a:ln>
            <a:effectLst/>
          </c:spPr>
          <c:marker>
            <c:symbol val="circle"/>
            <c:size val="5"/>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'Hoja 9. FC-4'!#REF!</c:f>
            </c:numRef>
          </c:xVal>
          <c:yVal>
            <c:numRef>
              <c:f>'Hoja 9. FC-4'!#REF!</c:f>
              <c:numCache>
                <c:formatCode>General</c:formatCode>
                <c:ptCount val="1"/>
                <c:pt idx="0">
                  <c:v>1</c:v>
                </c:pt>
              </c:numCache>
            </c:numRef>
          </c:yVal>
          <c:smooth val="0"/>
          <c:extLst>
            <c:ext xmlns:c15="http://schemas.microsoft.com/office/drawing/2012/chart" uri="{02D57815-91ED-43cb-92C2-25804820EDAC}">
              <c15:filteredSeriesTitle>
                <c15:tx>
                  <c:strRef>
                    <c:extLst xmlns:c16="http://schemas.microsoft.com/office/drawing/2014/chart">
                      <c:ext uri="{02D57815-91ED-43cb-92C2-25804820EDAC}">
                        <c15:formulaRef>
                          <c15:sqref>'Hoja 9. FC-4'!#REF!</c15:sqref>
                        </c15:formulaRef>
                      </c:ext>
                    </c:extLst>
                    <c:strCache>
                      <c:ptCount val="1"/>
                      <c:pt idx="0">
                        <c:v>#REF!</c:v>
                      </c:pt>
                    </c:strCache>
                  </c:strRef>
                </c15:tx>
              </c15:filteredSeriesTitle>
            </c:ext>
            <c:ext xmlns:c16="http://schemas.microsoft.com/office/drawing/2014/chart" uri="{C3380CC4-5D6E-409C-BE32-E72D297353CC}">
              <c16:uniqueId val="{00000001-3DD1-4DE7-9891-560030C14407}"/>
            </c:ext>
          </c:extLst>
        </c:ser>
        <c:ser>
          <c:idx val="2"/>
          <c:order val="2"/>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'Hoja 9. FC-4'!#REF!</c:f>
            </c:numRef>
          </c:xVal>
          <c:yVal>
            <c:numRef>
              <c:f>'Hoja 9. FC-4'!#REF!</c:f>
              <c:numCache>
                <c:formatCode>General</c:formatCode>
                <c:ptCount val="1"/>
                <c:pt idx="0">
                  <c:v>1</c:v>
                </c:pt>
              </c:numCache>
            </c:numRef>
          </c:yVal>
          <c:smooth val="0"/>
          <c:extLst>
            <c:ext xmlns:c15="http://schemas.microsoft.com/office/drawing/2012/chart" uri="{02D57815-91ED-43cb-92C2-25804820EDAC}">
              <c15:filteredSeriesTitle>
                <c15:tx>
                  <c:strRef>
                    <c:extLst xmlns:c16="http://schemas.microsoft.com/office/drawing/2014/chart">
                      <c:ext uri="{02D57815-91ED-43cb-92C2-25804820EDAC}">
                        <c15:formulaRef>
                          <c15:sqref>'Hoja 9. FC-4'!#REF!</c15:sqref>
                        </c15:formulaRef>
                      </c:ext>
                    </c:extLst>
                    <c:strCache>
                      <c:ptCount val="1"/>
                      <c:pt idx="0">
                        <c:v>#REF!</c:v>
                      </c:pt>
                    </c:strCache>
                  </c:strRef>
                </c15:tx>
              </c15:filteredSeriesTitle>
            </c:ext>
            <c:ext xmlns:c16="http://schemas.microsoft.com/office/drawing/2014/chart" uri="{C3380CC4-5D6E-409C-BE32-E72D297353CC}">
              <c16:uniqueId val="{00000002-3DD1-4DE7-9891-560030C14407}"/>
            </c:ext>
          </c:extLst>
        </c:ser>
        <c:dLbls>
          <c:showLegendKey val="0"/>
          <c:showVal val="0"/>
          <c:showCatName val="0"/>
          <c:showSerName val="0"/>
          <c:showPercent val="0"/>
          <c:showBubbleSize val="0"/>
        </c:dLbls>
        <c:axId val="561986264"/>
        <c:axId val="561983520"/>
      </c:scatterChart>
      <c:valAx>
        <c:axId val="56198626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crossAx val="561983520"/>
        <c:crosses val="autoZero"/>
        <c:crossBetween val="midCat"/>
      </c:valAx>
      <c:valAx>
        <c:axId val="561983520"/>
        <c:scaling>
          <c:orientation val="minMax"/>
          <c:max val="1.1000000000000001"/>
          <c:min val="0.75000000000000011"/>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CO"/>
          </a:p>
        </c:txPr>
        <c:crossAx val="561986264"/>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bg1"/>
                </a:solidFill>
                <a:latin typeface="+mn-lt"/>
                <a:ea typeface="+mn-ea"/>
                <a:cs typeface="+mn-cs"/>
              </a:defRPr>
            </a:pPr>
            <a:r>
              <a:rPr lang="es-CO" sz="1600">
                <a:solidFill>
                  <a:schemeClr val="bg1"/>
                </a:solidFill>
              </a:rPr>
              <a:t>4. Porcentaje (%) de Cumplimiento</a:t>
            </a:r>
            <a:r>
              <a:rPr lang="es-CO" sz="1600" baseline="0">
                <a:solidFill>
                  <a:schemeClr val="bg1"/>
                </a:solidFill>
              </a:rPr>
              <a:t> de Metas de Indicadores Mínimos de Gestión Relacionadas al Proceso</a:t>
            </a:r>
            <a:endParaRPr lang="es-CO" sz="1600">
              <a:solidFill>
                <a:schemeClr val="bg1"/>
              </a:solidFill>
            </a:endParaRPr>
          </a:p>
        </c:rich>
      </c:tx>
      <c:layout>
        <c:manualLayout>
          <c:xMode val="edge"/>
          <c:yMode val="edge"/>
          <c:x val="0.22251371066629994"/>
          <c:y val="5.0222945096575468E-2"/>
        </c:manualLayout>
      </c:layout>
      <c:overlay val="0"/>
      <c:spPr>
        <a:solidFill>
          <a:schemeClr val="accent5">
            <a:lumMod val="75000"/>
          </a:schemeClr>
        </a:solidFill>
        <a:ln>
          <a:noFill/>
        </a:ln>
        <a:effectLst/>
      </c:spPr>
      <c:txPr>
        <a:bodyPr rot="0" spcFirstLastPara="1" vertOverflow="ellipsis" vert="horz" wrap="square" anchor="ctr" anchorCtr="1"/>
        <a:lstStyle/>
        <a:p>
          <a:pPr>
            <a:defRPr sz="1600" b="0" i="0" u="none" strike="noStrike" kern="1200" spc="0" baseline="0">
              <a:solidFill>
                <a:schemeClr val="bg1"/>
              </a:solidFill>
              <a:latin typeface="+mn-lt"/>
              <a:ea typeface="+mn-ea"/>
              <a:cs typeface="+mn-cs"/>
            </a:defRPr>
          </a:pPr>
          <a:endParaRPr lang="es-CO"/>
        </a:p>
      </c:txPr>
    </c:title>
    <c:autoTitleDeleted val="0"/>
    <c:plotArea>
      <c:layout/>
      <c:scatterChart>
        <c:scatterStyle val="lineMarker"/>
        <c:varyColors val="0"/>
        <c:ser>
          <c:idx val="0"/>
          <c:order val="0"/>
          <c:tx>
            <c:strRef>
              <c:f>'Hoja 4. PG-4 (2)'!$A$5</c:f>
              <c:strCache>
                <c:ptCount val="1"/>
                <c:pt idx="0">
                  <c:v>Vigencia</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'Hoja 4. PG-4 (2)'!$A$6:$A$9</c:f>
              <c:numCache>
                <c:formatCode>General</c:formatCode>
                <c:ptCount val="4"/>
                <c:pt idx="0">
                  <c:v>2018</c:v>
                </c:pt>
                <c:pt idx="1">
                  <c:v>2019</c:v>
                </c:pt>
                <c:pt idx="2">
                  <c:v>2020</c:v>
                </c:pt>
                <c:pt idx="3">
                  <c:v>2021</c:v>
                </c:pt>
              </c:numCache>
            </c:numRef>
          </c:xVal>
          <c:yVal>
            <c:numRef>
              <c:f>'Hoja 4. PG-4 (2)'!$B$6:$B$9</c:f>
              <c:numCache>
                <c:formatCode>0%</c:formatCode>
                <c:ptCount val="4"/>
                <c:pt idx="0">
                  <c:v>1</c:v>
                </c:pt>
                <c:pt idx="1">
                  <c:v>1</c:v>
                </c:pt>
                <c:pt idx="2">
                  <c:v>1</c:v>
                </c:pt>
                <c:pt idx="3">
                  <c:v>0.44444444444444442</c:v>
                </c:pt>
              </c:numCache>
            </c:numRef>
          </c:yVal>
          <c:smooth val="0"/>
          <c:extLst>
            <c:ext xmlns:c16="http://schemas.microsoft.com/office/drawing/2014/chart" uri="{C3380CC4-5D6E-409C-BE32-E72D297353CC}">
              <c16:uniqueId val="{00000000-6E3F-4EAA-91B4-9932B19EBE5A}"/>
            </c:ext>
          </c:extLst>
        </c:ser>
        <c:ser>
          <c:idx val="1"/>
          <c:order val="1"/>
          <c:tx>
            <c:strRef>
              <c:f>'Hoja 4. PG-4 (2)'!$C$5</c:f>
              <c:strCache>
                <c:ptCount val="1"/>
                <c:pt idx="0">
                  <c:v>Meta</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'Hoja 4. PG-4 (2)'!$A$6:$A$9</c:f>
              <c:numCache>
                <c:formatCode>General</c:formatCode>
                <c:ptCount val="4"/>
                <c:pt idx="0">
                  <c:v>2018</c:v>
                </c:pt>
                <c:pt idx="1">
                  <c:v>2019</c:v>
                </c:pt>
                <c:pt idx="2">
                  <c:v>2020</c:v>
                </c:pt>
                <c:pt idx="3">
                  <c:v>2021</c:v>
                </c:pt>
              </c:numCache>
            </c:numRef>
          </c:xVal>
          <c:yVal>
            <c:numRef>
              <c:f>'Hoja 4. PG-4 (2)'!$C$6:$C$9</c:f>
              <c:numCache>
                <c:formatCode>0%</c:formatCode>
                <c:ptCount val="4"/>
                <c:pt idx="0">
                  <c:v>1</c:v>
                </c:pt>
                <c:pt idx="1">
                  <c:v>1</c:v>
                </c:pt>
                <c:pt idx="2">
                  <c:v>1</c:v>
                </c:pt>
                <c:pt idx="3">
                  <c:v>1</c:v>
                </c:pt>
              </c:numCache>
            </c:numRef>
          </c:yVal>
          <c:smooth val="0"/>
          <c:extLst>
            <c:ext xmlns:c16="http://schemas.microsoft.com/office/drawing/2014/chart" uri="{C3380CC4-5D6E-409C-BE32-E72D297353CC}">
              <c16:uniqueId val="{00000001-6E3F-4EAA-91B4-9932B19EBE5A}"/>
            </c:ext>
          </c:extLst>
        </c:ser>
        <c:ser>
          <c:idx val="2"/>
          <c:order val="2"/>
          <c:tx>
            <c:strRef>
              <c:f>'Hoja 4. PG-4 (2)'!$D$5</c:f>
              <c:strCache>
                <c:ptCount val="1"/>
                <c:pt idx="0">
                  <c:v>Cumplimiento</c:v>
                </c:pt>
              </c:strCache>
            </c:strRef>
          </c:tx>
          <c:spPr>
            <a:ln w="25400" cap="rnd">
              <a:solidFill>
                <a:srgbClr val="FF0000"/>
              </a:solidFill>
              <a:prstDash val="dash"/>
              <a:round/>
            </a:ln>
            <a:effectLst/>
          </c:spPr>
          <c:marker>
            <c:symbol val="circle"/>
            <c:size val="5"/>
            <c:spPr>
              <a:solidFill>
                <a:schemeClr val="accent3"/>
              </a:solidFill>
              <a:ln w="9525">
                <a:solidFill>
                  <a:schemeClr val="accent3"/>
                </a:solidFill>
              </a:ln>
              <a:effectLst/>
            </c:spPr>
          </c:marker>
          <c:xVal>
            <c:numRef>
              <c:f>'Hoja 4. PG-4 (2)'!$A$6:$A$9</c:f>
              <c:numCache>
                <c:formatCode>General</c:formatCode>
                <c:ptCount val="4"/>
                <c:pt idx="0">
                  <c:v>2018</c:v>
                </c:pt>
                <c:pt idx="1">
                  <c:v>2019</c:v>
                </c:pt>
                <c:pt idx="2">
                  <c:v>2020</c:v>
                </c:pt>
                <c:pt idx="3">
                  <c:v>2021</c:v>
                </c:pt>
              </c:numCache>
            </c:numRef>
          </c:xVal>
          <c:yVal>
            <c:numRef>
              <c:f>'Hoja 4. PG-4 (2)'!$D$6:$D$9</c:f>
              <c:numCache>
                <c:formatCode>0%</c:formatCode>
                <c:ptCount val="4"/>
                <c:pt idx="0">
                  <c:v>1</c:v>
                </c:pt>
                <c:pt idx="1">
                  <c:v>1</c:v>
                </c:pt>
                <c:pt idx="2">
                  <c:v>1</c:v>
                </c:pt>
                <c:pt idx="3">
                  <c:v>0.44444444444444442</c:v>
                </c:pt>
              </c:numCache>
            </c:numRef>
          </c:yVal>
          <c:smooth val="0"/>
          <c:extLst>
            <c:ext xmlns:c16="http://schemas.microsoft.com/office/drawing/2014/chart" uri="{C3380CC4-5D6E-409C-BE32-E72D297353CC}">
              <c16:uniqueId val="{00000002-6E3F-4EAA-91B4-9932B19EBE5A}"/>
            </c:ext>
          </c:extLst>
        </c:ser>
        <c:dLbls>
          <c:showLegendKey val="0"/>
          <c:showVal val="0"/>
          <c:showCatName val="0"/>
          <c:showSerName val="0"/>
          <c:showPercent val="0"/>
          <c:showBubbleSize val="0"/>
        </c:dLbls>
        <c:axId val="561981952"/>
        <c:axId val="561979992"/>
      </c:scatterChart>
      <c:valAx>
        <c:axId val="561981952"/>
        <c:scaling>
          <c:orientation val="minMax"/>
          <c:max val="2021"/>
          <c:min val="2017"/>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crossAx val="561979992"/>
        <c:crosses val="autoZero"/>
        <c:crossBetween val="midCat"/>
        <c:majorUnit val="1"/>
      </c:valAx>
      <c:valAx>
        <c:axId val="561979992"/>
        <c:scaling>
          <c:orientation val="minMax"/>
          <c:max val="1.1000000000000001"/>
          <c:min val="0.4"/>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CO"/>
          </a:p>
        </c:txPr>
        <c:crossAx val="561981952"/>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s-CO" sz="2000">
                <a:solidFill>
                  <a:schemeClr val="bg1"/>
                </a:solidFill>
              </a:rPr>
              <a:t>4. Porcentaje (%) de Acciones Correctivas y de Mejora Establecidad Eficazmente por Proceso</a:t>
            </a:r>
          </a:p>
        </c:rich>
      </c:tx>
      <c:layout>
        <c:manualLayout>
          <c:xMode val="edge"/>
          <c:yMode val="edge"/>
          <c:x val="0.17218119662863188"/>
          <c:y val="1.5135137711877031E-2"/>
        </c:manualLayout>
      </c:layout>
      <c:overlay val="0"/>
      <c:spPr>
        <a:solidFill>
          <a:schemeClr val="accent5">
            <a:lumMod val="75000"/>
          </a:schemeClr>
        </a:solid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es-CO"/>
        </a:p>
      </c:txPr>
    </c:title>
    <c:autoTitleDeleted val="0"/>
    <c:plotArea>
      <c:layout/>
      <c:scatterChart>
        <c:scatterStyle val="line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'Hoja 9. FC-4'!#REF!</c:f>
            </c:numRef>
          </c:xVal>
          <c:yVal>
            <c:numRef>
              <c:f>'Hoja 9. FC-4'!#REF!</c:f>
              <c:numCache>
                <c:formatCode>General</c:formatCode>
                <c:ptCount val="1"/>
                <c:pt idx="0">
                  <c:v>1</c:v>
                </c:pt>
              </c:numCache>
            </c:numRef>
          </c:yVal>
          <c:smooth val="0"/>
          <c:extLst>
            <c:ext xmlns:c15="http://schemas.microsoft.com/office/drawing/2012/chart" uri="{02D57815-91ED-43cb-92C2-25804820EDAC}">
              <c15:filteredSeriesTitle>
                <c15:tx>
                  <c:strRef>
                    <c:extLst xmlns:c16="http://schemas.microsoft.com/office/drawing/2014/chart">
                      <c:ext uri="{02D57815-91ED-43cb-92C2-25804820EDAC}">
                        <c15:formulaRef>
                          <c15:sqref>'Hoja 9. FC-4'!#REF!</c15:sqref>
                        </c15:formulaRef>
                      </c:ext>
                    </c:extLst>
                    <c:strCache>
                      <c:ptCount val="1"/>
                      <c:pt idx="0">
                        <c:v>#REF!</c:v>
                      </c:pt>
                    </c:strCache>
                  </c:strRef>
                </c15:tx>
              </c15:filteredSeriesTitle>
            </c:ext>
            <c:ext xmlns:c16="http://schemas.microsoft.com/office/drawing/2014/chart" uri="{C3380CC4-5D6E-409C-BE32-E72D297353CC}">
              <c16:uniqueId val="{00000000-D13B-4186-8973-A27D12DADFDB}"/>
            </c:ext>
          </c:extLst>
        </c:ser>
        <c:ser>
          <c:idx val="1"/>
          <c:order val="1"/>
          <c:spPr>
            <a:ln w="19050" cap="rnd">
              <a:solidFill>
                <a:schemeClr val="accent2"/>
              </a:solidFill>
              <a:round/>
            </a:ln>
            <a:effectLst/>
          </c:spPr>
          <c:marker>
            <c:symbol val="circle"/>
            <c:size val="5"/>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'Hoja 9. FC-4'!#REF!</c:f>
            </c:numRef>
          </c:xVal>
          <c:yVal>
            <c:numRef>
              <c:f>'Hoja 9. FC-4'!#REF!</c:f>
              <c:numCache>
                <c:formatCode>General</c:formatCode>
                <c:ptCount val="1"/>
                <c:pt idx="0">
                  <c:v>1</c:v>
                </c:pt>
              </c:numCache>
            </c:numRef>
          </c:yVal>
          <c:smooth val="0"/>
          <c:extLst>
            <c:ext xmlns:c15="http://schemas.microsoft.com/office/drawing/2012/chart" uri="{02D57815-91ED-43cb-92C2-25804820EDAC}">
              <c15:filteredSeriesTitle>
                <c15:tx>
                  <c:strRef>
                    <c:extLst xmlns:c16="http://schemas.microsoft.com/office/drawing/2014/chart">
                      <c:ext uri="{02D57815-91ED-43cb-92C2-25804820EDAC}">
                        <c15:formulaRef>
                          <c15:sqref>'Hoja 9. FC-4'!#REF!</c15:sqref>
                        </c15:formulaRef>
                      </c:ext>
                    </c:extLst>
                    <c:strCache>
                      <c:ptCount val="1"/>
                      <c:pt idx="0">
                        <c:v>#REF!</c:v>
                      </c:pt>
                    </c:strCache>
                  </c:strRef>
                </c15:tx>
              </c15:filteredSeriesTitle>
            </c:ext>
            <c:ext xmlns:c16="http://schemas.microsoft.com/office/drawing/2014/chart" uri="{C3380CC4-5D6E-409C-BE32-E72D297353CC}">
              <c16:uniqueId val="{00000001-D13B-4186-8973-A27D12DADFDB}"/>
            </c:ext>
          </c:extLst>
        </c:ser>
        <c:ser>
          <c:idx val="2"/>
          <c:order val="2"/>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'Hoja 9. FC-4'!#REF!</c:f>
            </c:numRef>
          </c:xVal>
          <c:yVal>
            <c:numRef>
              <c:f>'Hoja 9. FC-4'!#REF!</c:f>
              <c:numCache>
                <c:formatCode>General</c:formatCode>
                <c:ptCount val="1"/>
                <c:pt idx="0">
                  <c:v>1</c:v>
                </c:pt>
              </c:numCache>
            </c:numRef>
          </c:yVal>
          <c:smooth val="0"/>
          <c:extLst>
            <c:ext xmlns:c15="http://schemas.microsoft.com/office/drawing/2012/chart" uri="{02D57815-91ED-43cb-92C2-25804820EDAC}">
              <c15:filteredSeriesTitle>
                <c15:tx>
                  <c:strRef>
                    <c:extLst xmlns:c16="http://schemas.microsoft.com/office/drawing/2014/chart">
                      <c:ext uri="{02D57815-91ED-43cb-92C2-25804820EDAC}">
                        <c15:formulaRef>
                          <c15:sqref>'Hoja 9. FC-4'!#REF!</c15:sqref>
                        </c15:formulaRef>
                      </c:ext>
                    </c:extLst>
                    <c:strCache>
                      <c:ptCount val="1"/>
                      <c:pt idx="0">
                        <c:v>#REF!</c:v>
                      </c:pt>
                    </c:strCache>
                  </c:strRef>
                </c15:tx>
              </c15:filteredSeriesTitle>
            </c:ext>
            <c:ext xmlns:c16="http://schemas.microsoft.com/office/drawing/2014/chart" uri="{C3380CC4-5D6E-409C-BE32-E72D297353CC}">
              <c16:uniqueId val="{00000002-D13B-4186-8973-A27D12DADFDB}"/>
            </c:ext>
          </c:extLst>
        </c:ser>
        <c:dLbls>
          <c:showLegendKey val="0"/>
          <c:showVal val="0"/>
          <c:showCatName val="0"/>
          <c:showSerName val="0"/>
          <c:showPercent val="0"/>
          <c:showBubbleSize val="0"/>
        </c:dLbls>
        <c:axId val="561984696"/>
        <c:axId val="189348888"/>
      </c:scatterChart>
      <c:valAx>
        <c:axId val="56198469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crossAx val="189348888"/>
        <c:crosses val="autoZero"/>
        <c:crossBetween val="midCat"/>
      </c:valAx>
      <c:valAx>
        <c:axId val="189348888"/>
        <c:scaling>
          <c:orientation val="minMax"/>
          <c:max val="1.1000000000000001"/>
          <c:min val="0.75000000000000011"/>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CO"/>
          </a:p>
        </c:txPr>
        <c:crossAx val="561984696"/>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s-CO" sz="1600">
                <a:solidFill>
                  <a:schemeClr val="bg1"/>
                </a:solidFill>
              </a:rPr>
              <a:t>7. Porcentaje (%) de Cumplimiento</a:t>
            </a:r>
            <a:r>
              <a:rPr lang="es-CO" sz="1600" baseline="0">
                <a:solidFill>
                  <a:schemeClr val="bg1"/>
                </a:solidFill>
              </a:rPr>
              <a:t> por Proceso de la Meta MADS del Indice de Evaluación de Desempeño Institucional - IEDI</a:t>
            </a:r>
            <a:endParaRPr lang="es-CO" sz="1600">
              <a:solidFill>
                <a:schemeClr val="bg1"/>
              </a:solidFill>
            </a:endParaRPr>
          </a:p>
        </c:rich>
      </c:tx>
      <c:layout>
        <c:manualLayout>
          <c:xMode val="edge"/>
          <c:yMode val="edge"/>
          <c:x val="0.14698320623894115"/>
          <c:y val="2.2152777413240111E-2"/>
        </c:manualLayout>
      </c:layout>
      <c:overlay val="0"/>
      <c:spPr>
        <a:solidFill>
          <a:schemeClr val="accent5">
            <a:lumMod val="75000"/>
          </a:schemeClr>
        </a:solid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es-CO"/>
        </a:p>
      </c:txPr>
    </c:title>
    <c:autoTitleDeleted val="0"/>
    <c:plotArea>
      <c:layout/>
      <c:scatterChart>
        <c:scatterStyle val="lineMarker"/>
        <c:varyColors val="0"/>
        <c:ser>
          <c:idx val="0"/>
          <c:order val="0"/>
          <c:tx>
            <c:strRef>
              <c:f>'Hoja 4. PG-7 (2)'!$B$5:$B$6</c:f>
              <c:strCache>
                <c:ptCount val="2"/>
                <c:pt idx="0">
                  <c:v>Resultados </c:v>
                </c:pt>
                <c:pt idx="1">
                  <c:v>Dato</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'Hoja 4. PG-7 (2)'!$A$7:$A$9</c:f>
              <c:numCache>
                <c:formatCode>General</c:formatCode>
                <c:ptCount val="3"/>
                <c:pt idx="0">
                  <c:v>2019</c:v>
                </c:pt>
                <c:pt idx="1">
                  <c:v>2020</c:v>
                </c:pt>
                <c:pt idx="2">
                  <c:v>2021</c:v>
                </c:pt>
              </c:numCache>
            </c:numRef>
          </c:xVal>
          <c:yVal>
            <c:numRef>
              <c:f>'Hoja 4. PG-7 (2)'!$B$7:$B$9</c:f>
              <c:numCache>
                <c:formatCode>0%</c:formatCode>
                <c:ptCount val="3"/>
                <c:pt idx="0">
                  <c:v>1</c:v>
                </c:pt>
                <c:pt idx="1">
                  <c:v>1</c:v>
                </c:pt>
              </c:numCache>
            </c:numRef>
          </c:yVal>
          <c:smooth val="0"/>
          <c:extLst>
            <c:ext xmlns:c16="http://schemas.microsoft.com/office/drawing/2014/chart" uri="{C3380CC4-5D6E-409C-BE32-E72D297353CC}">
              <c16:uniqueId val="{00000000-BCC0-4566-BB21-C8A4321FE215}"/>
            </c:ext>
          </c:extLst>
        </c:ser>
        <c:ser>
          <c:idx val="1"/>
          <c:order val="1"/>
          <c:tx>
            <c:strRef>
              <c:f>'Hoja 4. PG-7 (2)'!$C$5:$C$6</c:f>
              <c:strCache>
                <c:ptCount val="2"/>
                <c:pt idx="0">
                  <c:v>Resultados </c:v>
                </c:pt>
                <c:pt idx="1">
                  <c:v>Meta</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'Hoja 4. PG-7 (2)'!$A$7:$A$9</c:f>
              <c:numCache>
                <c:formatCode>General</c:formatCode>
                <c:ptCount val="3"/>
                <c:pt idx="0">
                  <c:v>2019</c:v>
                </c:pt>
                <c:pt idx="1">
                  <c:v>2020</c:v>
                </c:pt>
                <c:pt idx="2">
                  <c:v>2021</c:v>
                </c:pt>
              </c:numCache>
            </c:numRef>
          </c:xVal>
          <c:yVal>
            <c:numRef>
              <c:f>'Hoja 4. PG-7 (2)'!$C$7:$C$9</c:f>
              <c:numCache>
                <c:formatCode>0%</c:formatCode>
                <c:ptCount val="3"/>
                <c:pt idx="0">
                  <c:v>1</c:v>
                </c:pt>
                <c:pt idx="1">
                  <c:v>1</c:v>
                </c:pt>
                <c:pt idx="2">
                  <c:v>1</c:v>
                </c:pt>
              </c:numCache>
            </c:numRef>
          </c:yVal>
          <c:smooth val="0"/>
          <c:extLst>
            <c:ext xmlns:c16="http://schemas.microsoft.com/office/drawing/2014/chart" uri="{C3380CC4-5D6E-409C-BE32-E72D297353CC}">
              <c16:uniqueId val="{00000001-BCC0-4566-BB21-C8A4321FE215}"/>
            </c:ext>
          </c:extLst>
        </c:ser>
        <c:ser>
          <c:idx val="2"/>
          <c:order val="2"/>
          <c:tx>
            <c:strRef>
              <c:f>'Hoja 4. PG-7 (2)'!$D$6</c:f>
              <c:strCache>
                <c:ptCount val="1"/>
                <c:pt idx="0">
                  <c:v>Cumplimiento</c:v>
                </c:pt>
              </c:strCache>
            </c:strRef>
          </c:tx>
          <c:spPr>
            <a:ln w="28575" cap="rnd">
              <a:solidFill>
                <a:srgbClr val="FF0000"/>
              </a:solidFill>
              <a:prstDash val="dash"/>
              <a:round/>
            </a:ln>
            <a:effectLst/>
          </c:spPr>
          <c:marker>
            <c:symbol val="circle"/>
            <c:size val="5"/>
            <c:spPr>
              <a:solidFill>
                <a:schemeClr val="accent3"/>
              </a:solidFill>
              <a:ln w="9525">
                <a:solidFill>
                  <a:schemeClr val="accent3"/>
                </a:solidFill>
              </a:ln>
              <a:effectLst/>
            </c:spPr>
          </c:marker>
          <c:xVal>
            <c:numRef>
              <c:f>'Hoja 4. PG-7 (2)'!$A$7:$A$9</c:f>
              <c:numCache>
                <c:formatCode>General</c:formatCode>
                <c:ptCount val="3"/>
                <c:pt idx="0">
                  <c:v>2019</c:v>
                </c:pt>
                <c:pt idx="1">
                  <c:v>2020</c:v>
                </c:pt>
                <c:pt idx="2">
                  <c:v>2021</c:v>
                </c:pt>
              </c:numCache>
            </c:numRef>
          </c:xVal>
          <c:yVal>
            <c:numRef>
              <c:f>'Hoja 4. PG-7 (2)'!$D$7:$D$9</c:f>
              <c:numCache>
                <c:formatCode>0%</c:formatCode>
                <c:ptCount val="3"/>
                <c:pt idx="0">
                  <c:v>1</c:v>
                </c:pt>
                <c:pt idx="1">
                  <c:v>1</c:v>
                </c:pt>
                <c:pt idx="2">
                  <c:v>1</c:v>
                </c:pt>
              </c:numCache>
            </c:numRef>
          </c:yVal>
          <c:smooth val="0"/>
          <c:extLst>
            <c:ext xmlns:c16="http://schemas.microsoft.com/office/drawing/2014/chart" uri="{C3380CC4-5D6E-409C-BE32-E72D297353CC}">
              <c16:uniqueId val="{00000002-BCC0-4566-BB21-C8A4321FE215}"/>
            </c:ext>
          </c:extLst>
        </c:ser>
        <c:dLbls>
          <c:showLegendKey val="0"/>
          <c:showVal val="0"/>
          <c:showCatName val="0"/>
          <c:showSerName val="0"/>
          <c:showPercent val="0"/>
          <c:showBubbleSize val="0"/>
        </c:dLbls>
        <c:axId val="189352808"/>
        <c:axId val="189351632"/>
      </c:scatterChart>
      <c:valAx>
        <c:axId val="18935280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crossAx val="189351632"/>
        <c:crosses val="autoZero"/>
        <c:crossBetween val="midCat"/>
      </c:valAx>
      <c:valAx>
        <c:axId val="189351632"/>
        <c:scaling>
          <c:orientation val="minMax"/>
          <c:max val="1.1000000000000001"/>
          <c:min val="0.7500000000000001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CO"/>
          </a:p>
        </c:txPr>
        <c:crossAx val="189352808"/>
        <c:crosses val="autoZero"/>
        <c:crossBetween val="midCat"/>
      </c:valAx>
      <c:spPr>
        <a:noFill/>
        <a:ln>
          <a:noFill/>
        </a:ln>
        <a:effectLst/>
      </c:spPr>
    </c:plotArea>
    <c:legend>
      <c:legendPos val="b"/>
      <c:legendEntry>
        <c:idx val="0"/>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2107221631444441E-2"/>
          <c:y val="3.6752821657557853E-2"/>
          <c:w val="0.86827707022898415"/>
          <c:h val="0.87151925576626732"/>
        </c:manualLayout>
      </c:layout>
      <c:lineChart>
        <c:grouping val="standard"/>
        <c:varyColors val="0"/>
        <c:ser>
          <c:idx val="0"/>
          <c:order val="0"/>
          <c:tx>
            <c:strRef>
              <c:f>'Hoja 5. GP 2017'!$A$34:$F$34</c:f>
              <c:strCache>
                <c:ptCount val="6"/>
                <c:pt idx="0">
                  <c:v>Porcentaje (%) de Proyectos Evaluados para su Viabilización en un Tiempo Igual o Inferior a lo Reglamentado en el SGC.</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5. GP 2017'!$G$33:$L$33</c:f>
              <c:numCache>
                <c:formatCode>General</c:formatCode>
                <c:ptCount val="6"/>
                <c:pt idx="0">
                  <c:v>2012</c:v>
                </c:pt>
                <c:pt idx="1">
                  <c:v>2013</c:v>
                </c:pt>
                <c:pt idx="2">
                  <c:v>2014</c:v>
                </c:pt>
                <c:pt idx="3">
                  <c:v>2015</c:v>
                </c:pt>
                <c:pt idx="4">
                  <c:v>2016</c:v>
                </c:pt>
                <c:pt idx="5">
                  <c:v>2017</c:v>
                </c:pt>
              </c:numCache>
            </c:numRef>
          </c:cat>
          <c:val>
            <c:numRef>
              <c:f>'Hoja 5. GP 2017'!$G$34:$L$34</c:f>
              <c:numCache>
                <c:formatCode>0%</c:formatCode>
                <c:ptCount val="6"/>
                <c:pt idx="0">
                  <c:v>0.97</c:v>
                </c:pt>
                <c:pt idx="1">
                  <c:v>1</c:v>
                </c:pt>
                <c:pt idx="2">
                  <c:v>0.98</c:v>
                </c:pt>
                <c:pt idx="3">
                  <c:v>0.98076923076923073</c:v>
                </c:pt>
                <c:pt idx="4">
                  <c:v>1</c:v>
                </c:pt>
                <c:pt idx="5">
                  <c:v>1</c:v>
                </c:pt>
              </c:numCache>
            </c:numRef>
          </c:val>
          <c:smooth val="1"/>
          <c:extLst>
            <c:ext xmlns:c16="http://schemas.microsoft.com/office/drawing/2014/chart" uri="{C3380CC4-5D6E-409C-BE32-E72D297353CC}">
              <c16:uniqueId val="{00000000-6762-4E5C-9D05-6E5A6F037098}"/>
            </c:ext>
          </c:extLst>
        </c:ser>
        <c:ser>
          <c:idx val="1"/>
          <c:order val="1"/>
          <c:tx>
            <c:strRef>
              <c:f>'Hoja 5. GP 2017'!$A$35:$F$35</c:f>
              <c:strCache>
                <c:ptCount val="6"/>
                <c:pt idx="0">
                  <c:v>Meta</c:v>
                </c:pt>
              </c:strCache>
            </c:strRef>
          </c:tx>
          <c:spPr>
            <a:ln w="38100">
              <a:solidFill>
                <a:srgbClr val="FF0000"/>
              </a:solidFill>
              <a:prstDash val="dashDot"/>
            </a:ln>
          </c:spPr>
          <c:marker>
            <c:symbol val="none"/>
          </c:marker>
          <c:cat>
            <c:numRef>
              <c:f>'Hoja 5. GP 2017'!$G$33:$L$33</c:f>
              <c:numCache>
                <c:formatCode>General</c:formatCode>
                <c:ptCount val="6"/>
                <c:pt idx="0">
                  <c:v>2012</c:v>
                </c:pt>
                <c:pt idx="1">
                  <c:v>2013</c:v>
                </c:pt>
                <c:pt idx="2">
                  <c:v>2014</c:v>
                </c:pt>
                <c:pt idx="3">
                  <c:v>2015</c:v>
                </c:pt>
                <c:pt idx="4">
                  <c:v>2016</c:v>
                </c:pt>
                <c:pt idx="5">
                  <c:v>2017</c:v>
                </c:pt>
              </c:numCache>
            </c:numRef>
          </c:cat>
          <c:val>
            <c:numRef>
              <c:f>'Hoja 5. GP 2017'!$G$35:$L$35</c:f>
              <c:numCache>
                <c:formatCode>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1-6762-4E5C-9D05-6E5A6F037098}"/>
            </c:ext>
          </c:extLst>
        </c:ser>
        <c:ser>
          <c:idx val="2"/>
          <c:order val="2"/>
          <c:tx>
            <c:strRef>
              <c:f>'Hoja 5. GP 2017'!$A$36:$F$36</c:f>
              <c:strCache>
                <c:ptCount val="6"/>
                <c:pt idx="0">
                  <c:v>Meta</c:v>
                </c:pt>
              </c:strCache>
            </c:strRef>
          </c:tx>
          <c:marker>
            <c:symbol val="none"/>
          </c:marker>
          <c:cat>
            <c:numRef>
              <c:f>'Hoja 5. GP 2017'!$G$33:$L$33</c:f>
              <c:numCache>
                <c:formatCode>General</c:formatCode>
                <c:ptCount val="6"/>
                <c:pt idx="0">
                  <c:v>2012</c:v>
                </c:pt>
                <c:pt idx="1">
                  <c:v>2013</c:v>
                </c:pt>
                <c:pt idx="2">
                  <c:v>2014</c:v>
                </c:pt>
                <c:pt idx="3">
                  <c:v>2015</c:v>
                </c:pt>
                <c:pt idx="4">
                  <c:v>2016</c:v>
                </c:pt>
                <c:pt idx="5">
                  <c:v>2017</c:v>
                </c:pt>
              </c:numCache>
            </c:numRef>
          </c:cat>
          <c:val>
            <c:numRef>
              <c:f>'Hoja 5. GP 2017'!$G$36:$K$36</c:f>
              <c:numCache>
                <c:formatCode>General</c:formatCode>
                <c:ptCount val="5"/>
              </c:numCache>
            </c:numRef>
          </c:val>
          <c:smooth val="0"/>
          <c:extLst>
            <c:ext xmlns:c16="http://schemas.microsoft.com/office/drawing/2014/chart" uri="{C3380CC4-5D6E-409C-BE32-E72D297353CC}">
              <c16:uniqueId val="{00000002-6762-4E5C-9D05-6E5A6F037098}"/>
            </c:ext>
          </c:extLst>
        </c:ser>
        <c:dLbls>
          <c:showLegendKey val="0"/>
          <c:showVal val="0"/>
          <c:showCatName val="0"/>
          <c:showSerName val="0"/>
          <c:showPercent val="0"/>
          <c:showBubbleSize val="0"/>
        </c:dLbls>
        <c:smooth val="0"/>
        <c:axId val="189353984"/>
        <c:axId val="189352024"/>
      </c:lineChart>
      <c:catAx>
        <c:axId val="189353984"/>
        <c:scaling>
          <c:orientation val="minMax"/>
        </c:scaling>
        <c:delete val="0"/>
        <c:axPos val="b"/>
        <c:numFmt formatCode="General" sourceLinked="1"/>
        <c:majorTickMark val="out"/>
        <c:minorTickMark val="none"/>
        <c:tickLblPos val="nextTo"/>
        <c:txPr>
          <a:bodyPr/>
          <a:lstStyle/>
          <a:p>
            <a:pPr>
              <a:defRPr lang="he-IL" sz="1800"/>
            </a:pPr>
            <a:endParaRPr lang="es-CO"/>
          </a:p>
        </c:txPr>
        <c:crossAx val="189352024"/>
        <c:crosses val="autoZero"/>
        <c:auto val="1"/>
        <c:lblAlgn val="ctr"/>
        <c:lblOffset val="100"/>
        <c:noMultiLvlLbl val="0"/>
      </c:catAx>
      <c:valAx>
        <c:axId val="189352024"/>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189353984"/>
        <c:crosses val="autoZero"/>
        <c:crossBetween val="between"/>
      </c:valAx>
    </c:plotArea>
    <c:legend>
      <c:legendPos val="r"/>
      <c:legendEntry>
        <c:idx val="0"/>
        <c:txPr>
          <a:bodyPr/>
          <a:lstStyle/>
          <a:p>
            <a:pPr>
              <a:defRPr sz="1400"/>
            </a:pPr>
            <a:endParaRPr lang="es-CO"/>
          </a:p>
        </c:txPr>
      </c:legendEntry>
      <c:legendEntry>
        <c:idx val="1"/>
        <c:txPr>
          <a:bodyPr/>
          <a:lstStyle/>
          <a:p>
            <a:pPr>
              <a:defRPr sz="1400"/>
            </a:pPr>
            <a:endParaRPr lang="es-CO"/>
          </a:p>
        </c:txPr>
      </c:legendEntry>
      <c:layout>
        <c:manualLayout>
          <c:xMode val="edge"/>
          <c:yMode val="edge"/>
          <c:x val="0.69608160766141858"/>
          <c:y val="0.42454712199346151"/>
          <c:w val="0.26471821803972317"/>
          <c:h val="0.50742797891944247"/>
        </c:manualLayout>
      </c:layout>
      <c:overlay val="0"/>
      <c:txPr>
        <a:bodyPr/>
        <a:lstStyle/>
        <a:p>
          <a:pPr>
            <a:defRPr lang="he-IL" sz="1400"/>
          </a:pPr>
          <a:endParaRPr lang="es-CO"/>
        </a:p>
      </c:txPr>
    </c:legend>
    <c:plotVisOnly val="1"/>
    <c:dispBlanksAs val="gap"/>
    <c:showDLblsOverMax val="0"/>
  </c:chart>
  <c:printSettings>
    <c:headerFooter/>
    <c:pageMargins b="0.75000000000000733" l="0.70000000000000062" r="0.70000000000000062" t="0.7500000000000073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109803729419376"/>
          <c:y val="2.6979933502346769E-2"/>
          <c:w val="0.86884468637266865"/>
          <c:h val="0.90568320254448298"/>
        </c:manualLayout>
      </c:layout>
      <c:lineChart>
        <c:grouping val="standard"/>
        <c:varyColors val="0"/>
        <c:ser>
          <c:idx val="0"/>
          <c:order val="0"/>
          <c:tx>
            <c:strRef>
              <c:f>'Hoja 5. GP 2017'!$A$49:$F$49</c:f>
              <c:strCache>
                <c:ptCount val="6"/>
                <c:pt idx="0">
                  <c:v>Porcentaje (%) de Encuesta de Satisfacción Calificadas por los Usuarios de Proyectos con una Nota Superior o Igual a Tres Punto Cinco (3.5) sobre Cinco (5.0)</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5. GP 2017'!$G$48:$M$48</c:f>
              <c:numCache>
                <c:formatCode>General</c:formatCode>
                <c:ptCount val="7"/>
                <c:pt idx="0">
                  <c:v>2011</c:v>
                </c:pt>
                <c:pt idx="1">
                  <c:v>2012</c:v>
                </c:pt>
                <c:pt idx="2">
                  <c:v>2013</c:v>
                </c:pt>
                <c:pt idx="3">
                  <c:v>2014</c:v>
                </c:pt>
                <c:pt idx="4">
                  <c:v>2015</c:v>
                </c:pt>
                <c:pt idx="5">
                  <c:v>2016</c:v>
                </c:pt>
                <c:pt idx="6">
                  <c:v>2017</c:v>
                </c:pt>
              </c:numCache>
            </c:numRef>
          </c:cat>
          <c:val>
            <c:numRef>
              <c:f>'Hoja 5. GP 2017'!$G$49:$M$49</c:f>
              <c:numCache>
                <c:formatCode>0.0%</c:formatCode>
                <c:ptCount val="7"/>
                <c:pt idx="0">
                  <c:v>0.89</c:v>
                </c:pt>
                <c:pt idx="1">
                  <c:v>0.97</c:v>
                </c:pt>
                <c:pt idx="2">
                  <c:v>0.98699999999999999</c:v>
                </c:pt>
                <c:pt idx="3">
                  <c:v>1</c:v>
                </c:pt>
                <c:pt idx="4">
                  <c:v>0</c:v>
                </c:pt>
                <c:pt idx="5">
                  <c:v>1</c:v>
                </c:pt>
                <c:pt idx="6">
                  <c:v>1</c:v>
                </c:pt>
              </c:numCache>
            </c:numRef>
          </c:val>
          <c:smooth val="1"/>
          <c:extLst>
            <c:ext xmlns:c16="http://schemas.microsoft.com/office/drawing/2014/chart" uri="{C3380CC4-5D6E-409C-BE32-E72D297353CC}">
              <c16:uniqueId val="{00000000-1F2F-47E2-B601-5B13D1DB69D8}"/>
            </c:ext>
          </c:extLst>
        </c:ser>
        <c:ser>
          <c:idx val="1"/>
          <c:order val="1"/>
          <c:tx>
            <c:strRef>
              <c:f>'Hoja 5. GP 2017'!$A$50:$F$50</c:f>
              <c:strCache>
                <c:ptCount val="6"/>
                <c:pt idx="0">
                  <c:v>Meta</c:v>
                </c:pt>
              </c:strCache>
            </c:strRef>
          </c:tx>
          <c:spPr>
            <a:ln w="38100">
              <a:solidFill>
                <a:srgbClr val="FF0000"/>
              </a:solidFill>
              <a:prstDash val="lgDashDot"/>
            </a:ln>
          </c:spPr>
          <c:marker>
            <c:symbol val="none"/>
          </c:marker>
          <c:cat>
            <c:numRef>
              <c:f>'Hoja 5. GP 2017'!$G$48:$M$48</c:f>
              <c:numCache>
                <c:formatCode>General</c:formatCode>
                <c:ptCount val="7"/>
                <c:pt idx="0">
                  <c:v>2011</c:v>
                </c:pt>
                <c:pt idx="1">
                  <c:v>2012</c:v>
                </c:pt>
                <c:pt idx="2">
                  <c:v>2013</c:v>
                </c:pt>
                <c:pt idx="3">
                  <c:v>2014</c:v>
                </c:pt>
                <c:pt idx="4">
                  <c:v>2015</c:v>
                </c:pt>
                <c:pt idx="5">
                  <c:v>2016</c:v>
                </c:pt>
                <c:pt idx="6">
                  <c:v>2017</c:v>
                </c:pt>
              </c:numCache>
            </c:numRef>
          </c:cat>
          <c:val>
            <c:numRef>
              <c:f>'Hoja 5. GP 2017'!$G$50:$M$50</c:f>
              <c:numCache>
                <c:formatCode>0%</c:formatCode>
                <c:ptCount val="7"/>
                <c:pt idx="0">
                  <c:v>0.95</c:v>
                </c:pt>
                <c:pt idx="1">
                  <c:v>0.95</c:v>
                </c:pt>
                <c:pt idx="2">
                  <c:v>0.95</c:v>
                </c:pt>
                <c:pt idx="3">
                  <c:v>0.95</c:v>
                </c:pt>
                <c:pt idx="4">
                  <c:v>0.95</c:v>
                </c:pt>
                <c:pt idx="5">
                  <c:v>0.95</c:v>
                </c:pt>
                <c:pt idx="6">
                  <c:v>0.95</c:v>
                </c:pt>
              </c:numCache>
            </c:numRef>
          </c:val>
          <c:smooth val="0"/>
          <c:extLst>
            <c:ext xmlns:c16="http://schemas.microsoft.com/office/drawing/2014/chart" uri="{C3380CC4-5D6E-409C-BE32-E72D297353CC}">
              <c16:uniqueId val="{00000001-1F2F-47E2-B601-5B13D1DB69D8}"/>
            </c:ext>
          </c:extLst>
        </c:ser>
        <c:dLbls>
          <c:showLegendKey val="0"/>
          <c:showVal val="0"/>
          <c:showCatName val="0"/>
          <c:showSerName val="0"/>
          <c:showPercent val="0"/>
          <c:showBubbleSize val="0"/>
        </c:dLbls>
        <c:smooth val="0"/>
        <c:axId val="189353592"/>
        <c:axId val="189350848"/>
      </c:lineChart>
      <c:catAx>
        <c:axId val="189353592"/>
        <c:scaling>
          <c:orientation val="minMax"/>
        </c:scaling>
        <c:delete val="0"/>
        <c:axPos val="b"/>
        <c:numFmt formatCode="General" sourceLinked="1"/>
        <c:majorTickMark val="out"/>
        <c:minorTickMark val="none"/>
        <c:tickLblPos val="nextTo"/>
        <c:txPr>
          <a:bodyPr/>
          <a:lstStyle/>
          <a:p>
            <a:pPr>
              <a:defRPr lang="he-IL" sz="1800"/>
            </a:pPr>
            <a:endParaRPr lang="es-CO"/>
          </a:p>
        </c:txPr>
        <c:crossAx val="189350848"/>
        <c:crosses val="autoZero"/>
        <c:auto val="1"/>
        <c:lblAlgn val="ctr"/>
        <c:lblOffset val="100"/>
        <c:noMultiLvlLbl val="0"/>
      </c:catAx>
      <c:valAx>
        <c:axId val="189350848"/>
        <c:scaling>
          <c:orientation val="minMax"/>
        </c:scaling>
        <c:delete val="0"/>
        <c:axPos val="l"/>
        <c:majorGridlines/>
        <c:numFmt formatCode="0.0%" sourceLinked="1"/>
        <c:majorTickMark val="out"/>
        <c:minorTickMark val="none"/>
        <c:tickLblPos val="nextTo"/>
        <c:txPr>
          <a:bodyPr/>
          <a:lstStyle/>
          <a:p>
            <a:pPr>
              <a:defRPr lang="he-IL" sz="1800"/>
            </a:pPr>
            <a:endParaRPr lang="es-CO"/>
          </a:p>
        </c:txPr>
        <c:crossAx val="189353592"/>
        <c:crosses val="autoZero"/>
        <c:crossBetween val="between"/>
      </c:valAx>
    </c:plotArea>
    <c:legend>
      <c:legendPos val="r"/>
      <c:legendEntry>
        <c:idx val="0"/>
        <c:txPr>
          <a:bodyPr/>
          <a:lstStyle/>
          <a:p>
            <a:pPr>
              <a:defRPr sz="1400"/>
            </a:pPr>
            <a:endParaRPr lang="es-CO"/>
          </a:p>
        </c:txPr>
      </c:legendEntry>
      <c:layout>
        <c:manualLayout>
          <c:xMode val="edge"/>
          <c:yMode val="edge"/>
          <c:x val="0.71809619367051414"/>
          <c:y val="0.49095396310415002"/>
          <c:w val="0.27770652227183135"/>
          <c:h val="0.48748673862711039"/>
        </c:manualLayout>
      </c:layout>
      <c:overlay val="0"/>
      <c:txPr>
        <a:bodyPr/>
        <a:lstStyle/>
        <a:p>
          <a:pPr>
            <a:defRPr lang="he-IL" sz="1400"/>
          </a:pPr>
          <a:endParaRPr lang="es-CO"/>
        </a:p>
      </c:txPr>
    </c:legend>
    <c:plotVisOnly val="1"/>
    <c:dispBlanksAs val="gap"/>
    <c:showDLblsOverMax val="0"/>
  </c:chart>
  <c:printSettings>
    <c:headerFooter/>
    <c:pageMargins b="0.75000000000000755" l="0.70000000000000062" r="0.70000000000000062" t="0.75000000000000755"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236251275079952"/>
          <c:y val="2.6797190045113474E-2"/>
          <c:w val="0.53291142748791842"/>
          <c:h val="0.87506367459159384"/>
        </c:manualLayout>
      </c:layout>
      <c:lineChart>
        <c:grouping val="standard"/>
        <c:varyColors val="0"/>
        <c:ser>
          <c:idx val="0"/>
          <c:order val="0"/>
          <c:tx>
            <c:strRef>
              <c:f>'Hoja 5. GP 2017'!$A$66:$F$66</c:f>
              <c:strCache>
                <c:ptCount val="6"/>
                <c:pt idx="0">
                  <c:v>Porcentaje (%) de Acciones Correctivas de Servicios No Conformes Establecidas Eficazmente</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5. GP 2017'!$G$65:$L$65</c:f>
              <c:numCache>
                <c:formatCode>General</c:formatCode>
                <c:ptCount val="6"/>
                <c:pt idx="0">
                  <c:v>2012</c:v>
                </c:pt>
                <c:pt idx="1">
                  <c:v>2013</c:v>
                </c:pt>
                <c:pt idx="2">
                  <c:v>2014</c:v>
                </c:pt>
                <c:pt idx="3">
                  <c:v>2015</c:v>
                </c:pt>
                <c:pt idx="4">
                  <c:v>2016</c:v>
                </c:pt>
                <c:pt idx="5">
                  <c:v>2017</c:v>
                </c:pt>
              </c:numCache>
            </c:numRef>
          </c:cat>
          <c:val>
            <c:numRef>
              <c:f>'Hoja 5. GP 2017'!$G$66:$L$66</c:f>
              <c:numCache>
                <c:formatCode>0%</c:formatCode>
                <c:ptCount val="6"/>
                <c:pt idx="0">
                  <c:v>1</c:v>
                </c:pt>
                <c:pt idx="1">
                  <c:v>0</c:v>
                </c:pt>
                <c:pt idx="2">
                  <c:v>1</c:v>
                </c:pt>
                <c:pt idx="3">
                  <c:v>1</c:v>
                </c:pt>
                <c:pt idx="4">
                  <c:v>1</c:v>
                </c:pt>
                <c:pt idx="5">
                  <c:v>1</c:v>
                </c:pt>
              </c:numCache>
            </c:numRef>
          </c:val>
          <c:smooth val="1"/>
          <c:extLst>
            <c:ext xmlns:c16="http://schemas.microsoft.com/office/drawing/2014/chart" uri="{C3380CC4-5D6E-409C-BE32-E72D297353CC}">
              <c16:uniqueId val="{00000000-D35D-4FFE-97F1-00C0D4D872E5}"/>
            </c:ext>
          </c:extLst>
        </c:ser>
        <c:ser>
          <c:idx val="1"/>
          <c:order val="1"/>
          <c:tx>
            <c:strRef>
              <c:f>'Hoja 5. GP 2017'!$A$67:$F$67</c:f>
              <c:strCache>
                <c:ptCount val="6"/>
                <c:pt idx="0">
                  <c:v>Meta</c:v>
                </c:pt>
              </c:strCache>
            </c:strRef>
          </c:tx>
          <c:spPr>
            <a:ln w="38100">
              <a:solidFill>
                <a:srgbClr val="FF0000"/>
              </a:solidFill>
              <a:prstDash val="dashDot"/>
            </a:ln>
          </c:spPr>
          <c:marker>
            <c:symbol val="none"/>
          </c:marker>
          <c:cat>
            <c:numRef>
              <c:f>'Hoja 5. GP 2017'!$G$65:$L$65</c:f>
              <c:numCache>
                <c:formatCode>General</c:formatCode>
                <c:ptCount val="6"/>
                <c:pt idx="0">
                  <c:v>2012</c:v>
                </c:pt>
                <c:pt idx="1">
                  <c:v>2013</c:v>
                </c:pt>
                <c:pt idx="2">
                  <c:v>2014</c:v>
                </c:pt>
                <c:pt idx="3">
                  <c:v>2015</c:v>
                </c:pt>
                <c:pt idx="4">
                  <c:v>2016</c:v>
                </c:pt>
                <c:pt idx="5">
                  <c:v>2017</c:v>
                </c:pt>
              </c:numCache>
            </c:numRef>
          </c:cat>
          <c:val>
            <c:numRef>
              <c:f>'Hoja 5. GP 2017'!$G$67:$L$67</c:f>
              <c:numCache>
                <c:formatCode>0%</c:formatCode>
                <c:ptCount val="6"/>
                <c:pt idx="0">
                  <c:v>0.9</c:v>
                </c:pt>
                <c:pt idx="1">
                  <c:v>0.9</c:v>
                </c:pt>
                <c:pt idx="2">
                  <c:v>0.9</c:v>
                </c:pt>
                <c:pt idx="3">
                  <c:v>0.9</c:v>
                </c:pt>
                <c:pt idx="4">
                  <c:v>0.9</c:v>
                </c:pt>
                <c:pt idx="5">
                  <c:v>0.9</c:v>
                </c:pt>
              </c:numCache>
            </c:numRef>
          </c:val>
          <c:smooth val="0"/>
          <c:extLst>
            <c:ext xmlns:c16="http://schemas.microsoft.com/office/drawing/2014/chart" uri="{C3380CC4-5D6E-409C-BE32-E72D297353CC}">
              <c16:uniqueId val="{00000001-D35D-4FFE-97F1-00C0D4D872E5}"/>
            </c:ext>
          </c:extLst>
        </c:ser>
        <c:dLbls>
          <c:showLegendKey val="0"/>
          <c:showVal val="0"/>
          <c:showCatName val="0"/>
          <c:showSerName val="0"/>
          <c:showPercent val="0"/>
          <c:showBubbleSize val="0"/>
        </c:dLbls>
        <c:smooth val="0"/>
        <c:axId val="189349672"/>
        <c:axId val="189354376"/>
      </c:lineChart>
      <c:catAx>
        <c:axId val="189349672"/>
        <c:scaling>
          <c:orientation val="minMax"/>
        </c:scaling>
        <c:delete val="0"/>
        <c:axPos val="b"/>
        <c:numFmt formatCode="General" sourceLinked="1"/>
        <c:majorTickMark val="out"/>
        <c:minorTickMark val="none"/>
        <c:tickLblPos val="nextTo"/>
        <c:txPr>
          <a:bodyPr/>
          <a:lstStyle/>
          <a:p>
            <a:pPr>
              <a:defRPr lang="he-IL" sz="1800"/>
            </a:pPr>
            <a:endParaRPr lang="es-CO"/>
          </a:p>
        </c:txPr>
        <c:crossAx val="189354376"/>
        <c:crosses val="autoZero"/>
        <c:auto val="1"/>
        <c:lblAlgn val="ctr"/>
        <c:lblOffset val="100"/>
        <c:noMultiLvlLbl val="0"/>
      </c:catAx>
      <c:valAx>
        <c:axId val="189354376"/>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189349672"/>
        <c:crosses val="autoZero"/>
        <c:crossBetween val="between"/>
      </c:valAx>
    </c:plotArea>
    <c:legend>
      <c:legendPos val="r"/>
      <c:legendEntry>
        <c:idx val="0"/>
        <c:txPr>
          <a:bodyPr/>
          <a:lstStyle/>
          <a:p>
            <a:pPr>
              <a:defRPr sz="1400"/>
            </a:pPr>
            <a:endParaRPr lang="es-CO"/>
          </a:p>
        </c:txPr>
      </c:legendEntry>
      <c:layout>
        <c:manualLayout>
          <c:xMode val="edge"/>
          <c:yMode val="edge"/>
          <c:x val="0.65833333333333965"/>
          <c:y val="1.5587634878973461E-3"/>
          <c:w val="0.33746929348117038"/>
          <c:h val="0.65484086682282916"/>
        </c:manualLayout>
      </c:layout>
      <c:overlay val="0"/>
      <c:txPr>
        <a:bodyPr/>
        <a:lstStyle/>
        <a:p>
          <a:pPr>
            <a:defRPr lang="he-IL" sz="1400"/>
          </a:pPr>
          <a:endParaRPr lang="es-CO"/>
        </a:p>
      </c:txPr>
    </c:legend>
    <c:plotVisOnly val="1"/>
    <c:dispBlanksAs val="gap"/>
    <c:showDLblsOverMax val="0"/>
  </c:chart>
  <c:printSettings>
    <c:headerFooter/>
    <c:pageMargins b="0.75000000000000777" l="0.70000000000000062" r="0.70000000000000062" t="0.75000000000000777"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Encuestas</a:t>
            </a:r>
            <a:r>
              <a:rPr lang="es-CO" baseline="0"/>
              <a:t> Trámites Ambientales</a:t>
            </a:r>
            <a:endParaRPr lang="es-CO"/>
          </a:p>
        </c:rich>
      </c:tx>
      <c:overlay val="0"/>
      <c:spPr>
        <a:noFill/>
        <a:ln>
          <a:noFill/>
        </a:ln>
        <a:effectLst/>
      </c:spPr>
    </c:title>
    <c:autoTitleDeleted val="0"/>
    <c:plotArea>
      <c:layout>
        <c:manualLayout>
          <c:layoutTarget val="inner"/>
          <c:xMode val="edge"/>
          <c:yMode val="edge"/>
          <c:x val="5.549869460051178E-2"/>
          <c:y val="7.2206125152319625E-2"/>
          <c:w val="0.86130138139787471"/>
          <c:h val="0.84623364446783567"/>
        </c:manualLayout>
      </c:layout>
      <c:barChart>
        <c:barDir val="col"/>
        <c:grouping val="clustered"/>
        <c:varyColors val="0"/>
        <c:ser>
          <c:idx val="0"/>
          <c:order val="0"/>
          <c:tx>
            <c:strRef>
              <c:f>'Hoja 6. AA'!$F$277</c:f>
              <c:strCache>
                <c:ptCount val="1"/>
                <c:pt idx="0">
                  <c:v>Territorial Centro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'Hoja 6. AA'!$G$276:$H$276</c:f>
              <c:numCache>
                <c:formatCode>General</c:formatCode>
                <c:ptCount val="2"/>
                <c:pt idx="0">
                  <c:v>2016</c:v>
                </c:pt>
                <c:pt idx="1">
                  <c:v>2017</c:v>
                </c:pt>
              </c:numCache>
            </c:numRef>
          </c:cat>
          <c:val>
            <c:numRef>
              <c:f>'Hoja 6. AA'!$G$277:$H$277</c:f>
              <c:numCache>
                <c:formatCode>0%</c:formatCode>
                <c:ptCount val="2"/>
                <c:pt idx="0">
                  <c:v>1</c:v>
                </c:pt>
                <c:pt idx="1">
                  <c:v>1</c:v>
                </c:pt>
              </c:numCache>
            </c:numRef>
          </c:val>
          <c:extLst>
            <c:ext xmlns:c16="http://schemas.microsoft.com/office/drawing/2014/chart" uri="{C3380CC4-5D6E-409C-BE32-E72D297353CC}">
              <c16:uniqueId val="{00000000-C036-49FB-9351-CBC016796E35}"/>
            </c:ext>
          </c:extLst>
        </c:ser>
        <c:ser>
          <c:idx val="1"/>
          <c:order val="1"/>
          <c:tx>
            <c:strRef>
              <c:f>'Hoja 6. AA'!$F$278</c:f>
              <c:strCache>
                <c:ptCount val="1"/>
                <c:pt idx="0">
                  <c:v>Territorial Atrato</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'Hoja 6. AA'!$G$276:$H$276</c:f>
              <c:numCache>
                <c:formatCode>General</c:formatCode>
                <c:ptCount val="2"/>
                <c:pt idx="0">
                  <c:v>2016</c:v>
                </c:pt>
                <c:pt idx="1">
                  <c:v>2017</c:v>
                </c:pt>
              </c:numCache>
            </c:numRef>
          </c:cat>
          <c:val>
            <c:numRef>
              <c:f>'Hoja 6. AA'!$G$278:$H$278</c:f>
              <c:numCache>
                <c:formatCode>0%</c:formatCode>
                <c:ptCount val="2"/>
                <c:pt idx="0">
                  <c:v>0.8</c:v>
                </c:pt>
              </c:numCache>
            </c:numRef>
          </c:val>
          <c:extLst>
            <c:ext xmlns:c16="http://schemas.microsoft.com/office/drawing/2014/chart" uri="{C3380CC4-5D6E-409C-BE32-E72D297353CC}">
              <c16:uniqueId val="{00000001-C036-49FB-9351-CBC016796E35}"/>
            </c:ext>
          </c:extLst>
        </c:ser>
        <c:ser>
          <c:idx val="2"/>
          <c:order val="2"/>
          <c:tx>
            <c:strRef>
              <c:f>'Hoja 6. AA'!$F$279</c:f>
              <c:strCache>
                <c:ptCount val="1"/>
                <c:pt idx="0">
                  <c:v>Territorial Caribe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'Hoja 6. AA'!$G$276:$H$276</c:f>
              <c:numCache>
                <c:formatCode>General</c:formatCode>
                <c:ptCount val="2"/>
                <c:pt idx="0">
                  <c:v>2016</c:v>
                </c:pt>
                <c:pt idx="1">
                  <c:v>2017</c:v>
                </c:pt>
              </c:numCache>
            </c:numRef>
          </c:cat>
          <c:val>
            <c:numRef>
              <c:f>'Hoja 6. AA'!$G$279:$H$279</c:f>
              <c:numCache>
                <c:formatCode>0%</c:formatCode>
                <c:ptCount val="2"/>
                <c:pt idx="0">
                  <c:v>1</c:v>
                </c:pt>
              </c:numCache>
            </c:numRef>
          </c:val>
          <c:extLst>
            <c:ext xmlns:c16="http://schemas.microsoft.com/office/drawing/2014/chart" uri="{C3380CC4-5D6E-409C-BE32-E72D297353CC}">
              <c16:uniqueId val="{00000002-C036-49FB-9351-CBC016796E35}"/>
            </c:ext>
          </c:extLst>
        </c:ser>
        <c:ser>
          <c:idx val="3"/>
          <c:order val="3"/>
          <c:tx>
            <c:strRef>
              <c:f>'Hoja 6. AA'!$F$280</c:f>
              <c:strCache>
                <c:ptCount val="1"/>
                <c:pt idx="0">
                  <c:v>Territorial Nutibara</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'Hoja 6. AA'!$G$276:$H$276</c:f>
              <c:numCache>
                <c:formatCode>General</c:formatCode>
                <c:ptCount val="2"/>
                <c:pt idx="0">
                  <c:v>2016</c:v>
                </c:pt>
                <c:pt idx="1">
                  <c:v>2017</c:v>
                </c:pt>
              </c:numCache>
            </c:numRef>
          </c:cat>
          <c:val>
            <c:numRef>
              <c:f>'Hoja 6. AA'!$G$280:$H$280</c:f>
              <c:numCache>
                <c:formatCode>0%</c:formatCode>
                <c:ptCount val="2"/>
                <c:pt idx="0">
                  <c:v>0.9375</c:v>
                </c:pt>
              </c:numCache>
            </c:numRef>
          </c:val>
          <c:extLst>
            <c:ext xmlns:c16="http://schemas.microsoft.com/office/drawing/2014/chart" uri="{C3380CC4-5D6E-409C-BE32-E72D297353CC}">
              <c16:uniqueId val="{00000003-C036-49FB-9351-CBC016796E35}"/>
            </c:ext>
          </c:extLst>
        </c:ser>
        <c:ser>
          <c:idx val="4"/>
          <c:order val="4"/>
          <c:tx>
            <c:strRef>
              <c:f>'Hoja 6. AA'!$F$281</c:f>
              <c:strCache>
                <c:ptCount val="1"/>
                <c:pt idx="0">
                  <c:v>Territorial Urrao</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'Hoja 6. AA'!$G$276:$H$276</c:f>
              <c:numCache>
                <c:formatCode>General</c:formatCode>
                <c:ptCount val="2"/>
                <c:pt idx="0">
                  <c:v>2016</c:v>
                </c:pt>
                <c:pt idx="1">
                  <c:v>2017</c:v>
                </c:pt>
              </c:numCache>
            </c:numRef>
          </c:cat>
          <c:val>
            <c:numRef>
              <c:f>'Hoja 6. AA'!$G$281:$H$281</c:f>
              <c:numCache>
                <c:formatCode>0%</c:formatCode>
                <c:ptCount val="2"/>
                <c:pt idx="0">
                  <c:v>0.72727272727272729</c:v>
                </c:pt>
              </c:numCache>
            </c:numRef>
          </c:val>
          <c:extLst>
            <c:ext xmlns:c16="http://schemas.microsoft.com/office/drawing/2014/chart" uri="{C3380CC4-5D6E-409C-BE32-E72D297353CC}">
              <c16:uniqueId val="{00000004-C036-49FB-9351-CBC016796E35}"/>
            </c:ext>
          </c:extLst>
        </c:ser>
        <c:ser>
          <c:idx val="5"/>
          <c:order val="5"/>
          <c:tx>
            <c:strRef>
              <c:f>'Hoja 6. AA'!$F$282</c:f>
              <c:strCache>
                <c:ptCount val="1"/>
                <c:pt idx="0">
                  <c:v>Todas las Territoriales</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'Hoja 6. AA'!$G$276:$H$276</c:f>
              <c:numCache>
                <c:formatCode>General</c:formatCode>
                <c:ptCount val="2"/>
                <c:pt idx="0">
                  <c:v>2016</c:v>
                </c:pt>
                <c:pt idx="1">
                  <c:v>2017</c:v>
                </c:pt>
              </c:numCache>
            </c:numRef>
          </c:cat>
          <c:val>
            <c:numRef>
              <c:f>'Hoja 6. AA'!$G$282:$H$282</c:f>
              <c:numCache>
                <c:formatCode>0%</c:formatCode>
                <c:ptCount val="2"/>
                <c:pt idx="0">
                  <c:v>0.8571428571428571</c:v>
                </c:pt>
                <c:pt idx="1">
                  <c:v>1</c:v>
                </c:pt>
              </c:numCache>
            </c:numRef>
          </c:val>
          <c:extLst>
            <c:ext xmlns:c16="http://schemas.microsoft.com/office/drawing/2014/chart" uri="{C3380CC4-5D6E-409C-BE32-E72D297353CC}">
              <c16:uniqueId val="{00000005-C036-49FB-9351-CBC016796E35}"/>
            </c:ext>
          </c:extLst>
        </c:ser>
        <c:dLbls>
          <c:showLegendKey val="0"/>
          <c:showVal val="0"/>
          <c:showCatName val="0"/>
          <c:showSerName val="0"/>
          <c:showPercent val="0"/>
          <c:showBubbleSize val="0"/>
        </c:dLbls>
        <c:gapWidth val="150"/>
        <c:axId val="189350064"/>
        <c:axId val="189350456"/>
      </c:barChart>
      <c:lineChart>
        <c:grouping val="standard"/>
        <c:varyColors val="0"/>
        <c:ser>
          <c:idx val="6"/>
          <c:order val="6"/>
          <c:tx>
            <c:strRef>
              <c:f>'Hoja 6. AA'!$F$283</c:f>
              <c:strCache>
                <c:ptCount val="1"/>
                <c:pt idx="0">
                  <c:v>Meta</c:v>
                </c:pt>
              </c:strCache>
            </c:strRef>
          </c:tx>
          <c:spPr>
            <a:ln w="28575" cap="rnd">
              <a:solidFill>
                <a:srgbClr val="FF0000"/>
              </a:solidFill>
              <a:prstDash val="dashDot"/>
              <a:round/>
            </a:ln>
            <a:effectLst/>
          </c:spPr>
          <c:marker>
            <c:symbol val="none"/>
          </c:marker>
          <c:cat>
            <c:numRef>
              <c:f>'Hoja 6. AA'!$G$276:$H$276</c:f>
              <c:numCache>
                <c:formatCode>General</c:formatCode>
                <c:ptCount val="2"/>
                <c:pt idx="0">
                  <c:v>2016</c:v>
                </c:pt>
                <c:pt idx="1">
                  <c:v>2017</c:v>
                </c:pt>
              </c:numCache>
            </c:numRef>
          </c:cat>
          <c:val>
            <c:numRef>
              <c:f>'Hoja 6. AA'!$G$283:$H$283</c:f>
              <c:numCache>
                <c:formatCode>0%</c:formatCode>
                <c:ptCount val="2"/>
                <c:pt idx="0">
                  <c:v>0.9</c:v>
                </c:pt>
                <c:pt idx="1">
                  <c:v>0.9</c:v>
                </c:pt>
              </c:numCache>
            </c:numRef>
          </c:val>
          <c:smooth val="0"/>
          <c:extLst>
            <c:ext xmlns:c16="http://schemas.microsoft.com/office/drawing/2014/chart" uri="{C3380CC4-5D6E-409C-BE32-E72D297353CC}">
              <c16:uniqueId val="{00000006-C036-49FB-9351-CBC016796E35}"/>
            </c:ext>
          </c:extLst>
        </c:ser>
        <c:dLbls>
          <c:showLegendKey val="0"/>
          <c:showVal val="0"/>
          <c:showCatName val="0"/>
          <c:showSerName val="0"/>
          <c:showPercent val="0"/>
          <c:showBubbleSize val="0"/>
        </c:dLbls>
        <c:marker val="1"/>
        <c:smooth val="0"/>
        <c:axId val="189350064"/>
        <c:axId val="189350456"/>
      </c:lineChart>
      <c:catAx>
        <c:axId val="1893500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s-CO"/>
          </a:p>
        </c:txPr>
        <c:crossAx val="189350456"/>
        <c:crosses val="autoZero"/>
        <c:auto val="1"/>
        <c:lblAlgn val="ctr"/>
        <c:lblOffset val="100"/>
        <c:noMultiLvlLbl val="0"/>
      </c:catAx>
      <c:valAx>
        <c:axId val="189350456"/>
        <c:scaling>
          <c:orientation val="minMax"/>
          <c:max val="1"/>
          <c:min val="0.5"/>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crossAx val="1893500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legend>
    <c:plotVisOnly val="1"/>
    <c:dispBlanksAs val="zero"/>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000000000000011" l="0.70000000000000007" r="0.70000000000000007" t="0.75000000000000011" header="0.30000000000000004" footer="0.30000000000000004"/>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sz="1800" b="0" i="0" baseline="0">
                <a:effectLst/>
              </a:rPr>
              <a:t>Encuestas Trámites Ambientales</a:t>
            </a:r>
            <a:endParaRPr lang="es-CO">
              <a:effectLst/>
            </a:endParaRPr>
          </a:p>
        </c:rich>
      </c:tx>
      <c:overlay val="0"/>
      <c:spPr>
        <a:noFill/>
        <a:ln>
          <a:noFill/>
        </a:ln>
        <a:effectLst/>
      </c:spPr>
    </c:title>
    <c:autoTitleDeleted val="0"/>
    <c:plotArea>
      <c:layout>
        <c:manualLayout>
          <c:layoutTarget val="inner"/>
          <c:xMode val="edge"/>
          <c:yMode val="edge"/>
          <c:x val="5.549869460051178E-2"/>
          <c:y val="7.2206125152319625E-2"/>
          <c:w val="0.86130138139787471"/>
          <c:h val="0.84623364446783567"/>
        </c:manualLayout>
      </c:layout>
      <c:lineChart>
        <c:grouping val="standard"/>
        <c:varyColors val="0"/>
        <c:ser>
          <c:idx val="5"/>
          <c:order val="0"/>
          <c:tx>
            <c:strRef>
              <c:f>'Hoja 6. AA'!$F$282</c:f>
              <c:strCache>
                <c:ptCount val="1"/>
                <c:pt idx="0">
                  <c:v>Todas las Territoriales</c:v>
                </c:pt>
              </c:strCache>
            </c:strRef>
          </c:tx>
          <c:spPr>
            <a:ln w="28575" cap="rnd">
              <a:solidFill>
                <a:schemeClr val="accent6"/>
              </a:solidFill>
              <a:prstDash val="lgDash"/>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'Hoja 6. AA'!$G$276:$H$276</c:f>
              <c:numCache>
                <c:formatCode>General</c:formatCode>
                <c:ptCount val="2"/>
                <c:pt idx="0">
                  <c:v>2016</c:v>
                </c:pt>
                <c:pt idx="1">
                  <c:v>2017</c:v>
                </c:pt>
              </c:numCache>
            </c:numRef>
          </c:cat>
          <c:val>
            <c:numRef>
              <c:f>'Hoja 6. AA'!$G$282:$H$282</c:f>
              <c:numCache>
                <c:formatCode>0%</c:formatCode>
                <c:ptCount val="2"/>
                <c:pt idx="0">
                  <c:v>0.8571428571428571</c:v>
                </c:pt>
                <c:pt idx="1">
                  <c:v>1</c:v>
                </c:pt>
              </c:numCache>
            </c:numRef>
          </c:val>
          <c:smooth val="0"/>
          <c:extLst>
            <c:ext xmlns:c16="http://schemas.microsoft.com/office/drawing/2014/chart" uri="{C3380CC4-5D6E-409C-BE32-E72D297353CC}">
              <c16:uniqueId val="{00000000-2396-40E2-9919-C9DFFA85F24E}"/>
            </c:ext>
          </c:extLst>
        </c:ser>
        <c:ser>
          <c:idx val="6"/>
          <c:order val="1"/>
          <c:tx>
            <c:strRef>
              <c:f>'Hoja 6. AA'!$F$283</c:f>
              <c:strCache>
                <c:ptCount val="1"/>
                <c:pt idx="0">
                  <c:v>Meta</c:v>
                </c:pt>
              </c:strCache>
            </c:strRef>
          </c:tx>
          <c:spPr>
            <a:ln w="28575" cap="rnd">
              <a:solidFill>
                <a:srgbClr val="FF0000"/>
              </a:solidFill>
              <a:prstDash val="dashDot"/>
              <a:round/>
            </a:ln>
            <a:effectLst/>
          </c:spPr>
          <c:marker>
            <c:symbol val="none"/>
          </c:marker>
          <c:cat>
            <c:numRef>
              <c:f>'Hoja 6. AA'!$G$276:$H$276</c:f>
              <c:numCache>
                <c:formatCode>General</c:formatCode>
                <c:ptCount val="2"/>
                <c:pt idx="0">
                  <c:v>2016</c:v>
                </c:pt>
                <c:pt idx="1">
                  <c:v>2017</c:v>
                </c:pt>
              </c:numCache>
            </c:numRef>
          </c:cat>
          <c:val>
            <c:numRef>
              <c:f>'Hoja 6. AA'!$G$283:$H$283</c:f>
              <c:numCache>
                <c:formatCode>0%</c:formatCode>
                <c:ptCount val="2"/>
                <c:pt idx="0">
                  <c:v>0.9</c:v>
                </c:pt>
                <c:pt idx="1">
                  <c:v>0.9</c:v>
                </c:pt>
              </c:numCache>
            </c:numRef>
          </c:val>
          <c:smooth val="0"/>
          <c:extLst>
            <c:ext xmlns:c16="http://schemas.microsoft.com/office/drawing/2014/chart" uri="{C3380CC4-5D6E-409C-BE32-E72D297353CC}">
              <c16:uniqueId val="{00000001-2396-40E2-9919-C9DFFA85F24E}"/>
            </c:ext>
          </c:extLst>
        </c:ser>
        <c:dLbls>
          <c:showLegendKey val="0"/>
          <c:showVal val="0"/>
          <c:showCatName val="0"/>
          <c:showSerName val="0"/>
          <c:showPercent val="0"/>
          <c:showBubbleSize val="0"/>
        </c:dLbls>
        <c:smooth val="0"/>
        <c:axId val="561985480"/>
        <c:axId val="686064256"/>
      </c:lineChart>
      <c:catAx>
        <c:axId val="5619854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s-CO"/>
          </a:p>
        </c:txPr>
        <c:crossAx val="686064256"/>
        <c:crosses val="autoZero"/>
        <c:auto val="1"/>
        <c:lblAlgn val="ctr"/>
        <c:lblOffset val="100"/>
        <c:noMultiLvlLbl val="0"/>
      </c:catAx>
      <c:valAx>
        <c:axId val="686064256"/>
        <c:scaling>
          <c:orientation val="minMax"/>
          <c:max val="1"/>
          <c:min val="0.5"/>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crossAx val="56198548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legend>
    <c:plotVisOnly val="1"/>
    <c:dispBlanksAs val="zero"/>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000000000000011" l="0.70000000000000007" r="0.70000000000000007" t="0.75000000000000011" header="0.30000000000000004" footer="0.30000000000000004"/>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'Hoja 6. AA'!$A$125:$F$125</c:f>
              <c:strCache>
                <c:ptCount val="6"/>
                <c:pt idx="0">
                  <c:v>Licencia Ambiental</c:v>
                </c:pt>
              </c:strCache>
            </c:strRef>
          </c:tx>
          <c:spPr>
            <a:solidFill>
              <a:schemeClr val="accent1"/>
            </a:solidFill>
            <a:ln>
              <a:noFill/>
            </a:ln>
            <a:effectLst/>
          </c:spPr>
          <c:invertIfNegative val="0"/>
          <c:cat>
            <c:numRef>
              <c:f>'Hoja 6. AA'!$G$124:$H$124</c:f>
              <c:numCache>
                <c:formatCode>General</c:formatCode>
                <c:ptCount val="2"/>
                <c:pt idx="0">
                  <c:v>2016</c:v>
                </c:pt>
                <c:pt idx="1">
                  <c:v>2017</c:v>
                </c:pt>
              </c:numCache>
            </c:numRef>
          </c:cat>
          <c:val>
            <c:numRef>
              <c:f>'Hoja 6. AA'!$G$125:$H$125</c:f>
              <c:numCache>
                <c:formatCode>0%</c:formatCode>
                <c:ptCount val="2"/>
                <c:pt idx="0">
                  <c:v>0</c:v>
                </c:pt>
                <c:pt idx="1">
                  <c:v>0</c:v>
                </c:pt>
              </c:numCache>
            </c:numRef>
          </c:val>
          <c:extLst>
            <c:ext xmlns:c16="http://schemas.microsoft.com/office/drawing/2014/chart" uri="{C3380CC4-5D6E-409C-BE32-E72D297353CC}">
              <c16:uniqueId val="{00000000-7BCE-428E-9FB5-2BE2E9304219}"/>
            </c:ext>
          </c:extLst>
        </c:ser>
        <c:ser>
          <c:idx val="1"/>
          <c:order val="1"/>
          <c:tx>
            <c:strRef>
              <c:f>'Hoja 6. AA'!$A$126:$F$126</c:f>
              <c:strCache>
                <c:ptCount val="6"/>
                <c:pt idx="0">
                  <c:v>Concesiones de Aguas Subterráneas y Superficiales</c:v>
                </c:pt>
              </c:strCache>
            </c:strRef>
          </c:tx>
          <c:spPr>
            <a:solidFill>
              <a:schemeClr val="accent2"/>
            </a:solidFill>
            <a:ln>
              <a:noFill/>
            </a:ln>
            <a:effectLst/>
          </c:spPr>
          <c:invertIfNegative val="0"/>
          <c:cat>
            <c:numRef>
              <c:f>'Hoja 6. AA'!$G$124:$H$124</c:f>
              <c:numCache>
                <c:formatCode>General</c:formatCode>
                <c:ptCount val="2"/>
                <c:pt idx="0">
                  <c:v>2016</c:v>
                </c:pt>
                <c:pt idx="1">
                  <c:v>2017</c:v>
                </c:pt>
              </c:numCache>
            </c:numRef>
          </c:cat>
          <c:val>
            <c:numRef>
              <c:f>'Hoja 6. AA'!$G$126:$H$126</c:f>
              <c:numCache>
                <c:formatCode>0%</c:formatCode>
                <c:ptCount val="2"/>
                <c:pt idx="0">
                  <c:v>0.69230769230769229</c:v>
                </c:pt>
                <c:pt idx="1">
                  <c:v>0.88135593220338981</c:v>
                </c:pt>
              </c:numCache>
            </c:numRef>
          </c:val>
          <c:extLst>
            <c:ext xmlns:c16="http://schemas.microsoft.com/office/drawing/2014/chart" uri="{C3380CC4-5D6E-409C-BE32-E72D297353CC}">
              <c16:uniqueId val="{00000001-7BCE-428E-9FB5-2BE2E9304219}"/>
            </c:ext>
          </c:extLst>
        </c:ser>
        <c:ser>
          <c:idx val="2"/>
          <c:order val="2"/>
          <c:tx>
            <c:strRef>
              <c:f>'Hoja 6. AA'!$A$127:$F$127</c:f>
              <c:strCache>
                <c:ptCount val="6"/>
                <c:pt idx="0">
                  <c:v>Permisos de Vertimientos</c:v>
                </c:pt>
              </c:strCache>
            </c:strRef>
          </c:tx>
          <c:spPr>
            <a:solidFill>
              <a:schemeClr val="accent3"/>
            </a:solidFill>
            <a:ln>
              <a:noFill/>
            </a:ln>
            <a:effectLst/>
          </c:spPr>
          <c:invertIfNegative val="0"/>
          <c:cat>
            <c:numRef>
              <c:f>'Hoja 6. AA'!$G$124:$H$124</c:f>
              <c:numCache>
                <c:formatCode>General</c:formatCode>
                <c:ptCount val="2"/>
                <c:pt idx="0">
                  <c:v>2016</c:v>
                </c:pt>
                <c:pt idx="1">
                  <c:v>2017</c:v>
                </c:pt>
              </c:numCache>
            </c:numRef>
          </c:cat>
          <c:val>
            <c:numRef>
              <c:f>'Hoja 6. AA'!$G$127:$H$127</c:f>
              <c:numCache>
                <c:formatCode>0%</c:formatCode>
                <c:ptCount val="2"/>
                <c:pt idx="0">
                  <c:v>0.39130434782608697</c:v>
                </c:pt>
                <c:pt idx="1">
                  <c:v>0.30136986301369861</c:v>
                </c:pt>
              </c:numCache>
            </c:numRef>
          </c:val>
          <c:extLst>
            <c:ext xmlns:c16="http://schemas.microsoft.com/office/drawing/2014/chart" uri="{C3380CC4-5D6E-409C-BE32-E72D297353CC}">
              <c16:uniqueId val="{00000002-7BCE-428E-9FB5-2BE2E9304219}"/>
            </c:ext>
          </c:extLst>
        </c:ser>
        <c:ser>
          <c:idx val="3"/>
          <c:order val="3"/>
          <c:tx>
            <c:strRef>
              <c:f>'Hoja 6. AA'!$A$128:$F$128</c:f>
              <c:strCache>
                <c:ptCount val="6"/>
                <c:pt idx="0">
                  <c:v>Aprovechamiento Forestal </c:v>
                </c:pt>
              </c:strCache>
            </c:strRef>
          </c:tx>
          <c:spPr>
            <a:solidFill>
              <a:schemeClr val="accent4"/>
            </a:solidFill>
            <a:ln>
              <a:noFill/>
            </a:ln>
            <a:effectLst/>
          </c:spPr>
          <c:invertIfNegative val="0"/>
          <c:cat>
            <c:numRef>
              <c:f>'Hoja 6. AA'!$G$124:$H$124</c:f>
              <c:numCache>
                <c:formatCode>General</c:formatCode>
                <c:ptCount val="2"/>
                <c:pt idx="0">
                  <c:v>2016</c:v>
                </c:pt>
                <c:pt idx="1">
                  <c:v>2017</c:v>
                </c:pt>
              </c:numCache>
            </c:numRef>
          </c:cat>
          <c:val>
            <c:numRef>
              <c:f>'Hoja 6. AA'!$G$128:$H$128</c:f>
              <c:numCache>
                <c:formatCode>0%</c:formatCode>
                <c:ptCount val="2"/>
                <c:pt idx="0">
                  <c:v>0.90625</c:v>
                </c:pt>
                <c:pt idx="1">
                  <c:v>0.68421052631578949</c:v>
                </c:pt>
              </c:numCache>
            </c:numRef>
          </c:val>
          <c:extLst>
            <c:ext xmlns:c16="http://schemas.microsoft.com/office/drawing/2014/chart" uri="{C3380CC4-5D6E-409C-BE32-E72D297353CC}">
              <c16:uniqueId val="{00000003-7BCE-428E-9FB5-2BE2E9304219}"/>
            </c:ext>
          </c:extLst>
        </c:ser>
        <c:ser>
          <c:idx val="4"/>
          <c:order val="4"/>
          <c:tx>
            <c:strRef>
              <c:f>'Hoja 6. AA'!$A$129:$F$129</c:f>
              <c:strCache>
                <c:ptCount val="6"/>
                <c:pt idx="0">
                  <c:v>Porcentaje (%) de Trámites Resueltos en un Tiempo Igual o Inferior a lo Reglamentado en el SGC</c:v>
                </c:pt>
              </c:strCache>
            </c:strRef>
          </c:tx>
          <c:spPr>
            <a:solidFill>
              <a:schemeClr val="accent5"/>
            </a:solidFill>
            <a:ln>
              <a:noFill/>
            </a:ln>
            <a:effectLst/>
          </c:spPr>
          <c:invertIfNegative val="0"/>
          <c:cat>
            <c:numRef>
              <c:f>'Hoja 6. AA'!$G$124:$H$124</c:f>
              <c:numCache>
                <c:formatCode>General</c:formatCode>
                <c:ptCount val="2"/>
                <c:pt idx="0">
                  <c:v>2016</c:v>
                </c:pt>
                <c:pt idx="1">
                  <c:v>2017</c:v>
                </c:pt>
              </c:numCache>
            </c:numRef>
          </c:cat>
          <c:val>
            <c:numRef>
              <c:f>'Hoja 6. AA'!$G$129:$H$129</c:f>
              <c:numCache>
                <c:formatCode>0%</c:formatCode>
                <c:ptCount val="2"/>
                <c:pt idx="0">
                  <c:v>0.67346938775510201</c:v>
                </c:pt>
                <c:pt idx="1">
                  <c:v>0.57894736842105265</c:v>
                </c:pt>
              </c:numCache>
            </c:numRef>
          </c:val>
          <c:extLst>
            <c:ext xmlns:c16="http://schemas.microsoft.com/office/drawing/2014/chart" uri="{C3380CC4-5D6E-409C-BE32-E72D297353CC}">
              <c16:uniqueId val="{00000004-7BCE-428E-9FB5-2BE2E9304219}"/>
            </c:ext>
          </c:extLst>
        </c:ser>
        <c:dLbls>
          <c:showLegendKey val="0"/>
          <c:showVal val="0"/>
          <c:showCatName val="0"/>
          <c:showSerName val="0"/>
          <c:showPercent val="0"/>
          <c:showBubbleSize val="0"/>
        </c:dLbls>
        <c:gapWidth val="150"/>
        <c:axId val="686063864"/>
        <c:axId val="686061904"/>
      </c:barChart>
      <c:lineChart>
        <c:grouping val="standard"/>
        <c:varyColors val="0"/>
        <c:ser>
          <c:idx val="5"/>
          <c:order val="5"/>
          <c:tx>
            <c:strRef>
              <c:f>'Hoja 6. AA'!$A$130:$F$130</c:f>
              <c:strCache>
                <c:ptCount val="6"/>
                <c:pt idx="0">
                  <c:v>Meta</c:v>
                </c:pt>
              </c:strCache>
            </c:strRef>
          </c:tx>
          <c:spPr>
            <a:ln w="28575" cap="rnd">
              <a:solidFill>
                <a:srgbClr val="FF0000"/>
              </a:solidFill>
              <a:prstDash val="dashDot"/>
              <a:round/>
            </a:ln>
            <a:effectLst/>
          </c:spPr>
          <c:marker>
            <c:symbol val="none"/>
          </c:marker>
          <c:cat>
            <c:numRef>
              <c:f>'Hoja 6. AA'!$G$124:$H$124</c:f>
              <c:numCache>
                <c:formatCode>General</c:formatCode>
                <c:ptCount val="2"/>
                <c:pt idx="0">
                  <c:v>2016</c:v>
                </c:pt>
                <c:pt idx="1">
                  <c:v>2017</c:v>
                </c:pt>
              </c:numCache>
            </c:numRef>
          </c:cat>
          <c:val>
            <c:numRef>
              <c:f>'Hoja 6. AA'!$G$130:$H$130</c:f>
              <c:numCache>
                <c:formatCode>0%</c:formatCode>
                <c:ptCount val="2"/>
                <c:pt idx="0">
                  <c:v>0.8</c:v>
                </c:pt>
                <c:pt idx="1">
                  <c:v>0.8</c:v>
                </c:pt>
              </c:numCache>
            </c:numRef>
          </c:val>
          <c:smooth val="0"/>
          <c:extLst>
            <c:ext xmlns:c16="http://schemas.microsoft.com/office/drawing/2014/chart" uri="{C3380CC4-5D6E-409C-BE32-E72D297353CC}">
              <c16:uniqueId val="{00000005-7BCE-428E-9FB5-2BE2E9304219}"/>
            </c:ext>
          </c:extLst>
        </c:ser>
        <c:dLbls>
          <c:showLegendKey val="0"/>
          <c:showVal val="0"/>
          <c:showCatName val="0"/>
          <c:showSerName val="0"/>
          <c:showPercent val="0"/>
          <c:showBubbleSize val="0"/>
        </c:dLbls>
        <c:marker val="1"/>
        <c:smooth val="0"/>
        <c:axId val="686063864"/>
        <c:axId val="686061904"/>
      </c:lineChart>
      <c:catAx>
        <c:axId val="686063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6061904"/>
        <c:crosses val="autoZero"/>
        <c:auto val="1"/>
        <c:lblAlgn val="ctr"/>
        <c:lblOffset val="100"/>
        <c:noMultiLvlLbl val="0"/>
      </c:catAx>
      <c:valAx>
        <c:axId val="68606190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6063864"/>
        <c:crosses val="autoZero"/>
        <c:crossBetween val="between"/>
      </c:valAx>
      <c:spPr>
        <a:noFill/>
        <a:ln>
          <a:noFill/>
        </a:ln>
        <a:effectLst/>
      </c:spPr>
    </c:plotArea>
    <c:legend>
      <c:legendPos val="b"/>
      <c:layout>
        <c:manualLayout>
          <c:xMode val="edge"/>
          <c:yMode val="edge"/>
          <c:x val="2.1333066531615472E-2"/>
          <c:y val="0.79599259170183934"/>
          <c:w val="0.91803552107303821"/>
          <c:h val="0.18710435415330648"/>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'Hoja 6. AA'!$A$125:$F$125</c:f>
              <c:strCache>
                <c:ptCount val="6"/>
                <c:pt idx="0">
                  <c:v>Licencia Ambiental</c:v>
                </c:pt>
              </c:strCache>
            </c:strRef>
          </c:tx>
          <c:spPr>
            <a:solidFill>
              <a:schemeClr val="accent1"/>
            </a:solidFill>
            <a:ln>
              <a:noFill/>
            </a:ln>
            <a:effectLst/>
          </c:spPr>
          <c:invertIfNegative val="0"/>
          <c:cat>
            <c:numRef>
              <c:f>'Hoja 6. AA'!$G$124:$H$124</c:f>
              <c:numCache>
                <c:formatCode>General</c:formatCode>
                <c:ptCount val="2"/>
                <c:pt idx="0">
                  <c:v>2016</c:v>
                </c:pt>
                <c:pt idx="1">
                  <c:v>2017</c:v>
                </c:pt>
              </c:numCache>
            </c:numRef>
          </c:cat>
          <c:val>
            <c:numRef>
              <c:f>'Hoja 6. AA'!$G$125:$H$125</c:f>
              <c:numCache>
                <c:formatCode>0%</c:formatCode>
                <c:ptCount val="2"/>
                <c:pt idx="0">
                  <c:v>0</c:v>
                </c:pt>
                <c:pt idx="1">
                  <c:v>0</c:v>
                </c:pt>
              </c:numCache>
            </c:numRef>
          </c:val>
          <c:extLst>
            <c:ext xmlns:c16="http://schemas.microsoft.com/office/drawing/2014/chart" uri="{C3380CC4-5D6E-409C-BE32-E72D297353CC}">
              <c16:uniqueId val="{00000000-942C-4CAB-B7F8-E9D6CBED7EBE}"/>
            </c:ext>
          </c:extLst>
        </c:ser>
        <c:dLbls>
          <c:showLegendKey val="0"/>
          <c:showVal val="0"/>
          <c:showCatName val="0"/>
          <c:showSerName val="0"/>
          <c:showPercent val="0"/>
          <c:showBubbleSize val="0"/>
        </c:dLbls>
        <c:gapWidth val="150"/>
        <c:axId val="686065040"/>
        <c:axId val="686061512"/>
      </c:barChart>
      <c:lineChart>
        <c:grouping val="standard"/>
        <c:varyColors val="0"/>
        <c:ser>
          <c:idx val="4"/>
          <c:order val="1"/>
          <c:tx>
            <c:strRef>
              <c:f>'Hoja 6. AA'!$A$129:$F$129</c:f>
              <c:strCache>
                <c:ptCount val="6"/>
                <c:pt idx="0">
                  <c:v>Porcentaje (%) de Trámites Resueltos en un Tiempo Igual o Inferior a lo Reglamentado en el SGC</c:v>
                </c:pt>
              </c:strCache>
            </c:strRef>
          </c:tx>
          <c:spPr>
            <a:ln w="28575" cap="rnd">
              <a:solidFill>
                <a:schemeClr val="accent5"/>
              </a:solidFill>
              <a:round/>
            </a:ln>
            <a:effectLst/>
          </c:spPr>
          <c:marker>
            <c:symbol val="none"/>
          </c:marker>
          <c:cat>
            <c:numRef>
              <c:f>'Hoja 6. AA'!$G$124:$H$124</c:f>
              <c:numCache>
                <c:formatCode>General</c:formatCode>
                <c:ptCount val="2"/>
                <c:pt idx="0">
                  <c:v>2016</c:v>
                </c:pt>
                <c:pt idx="1">
                  <c:v>2017</c:v>
                </c:pt>
              </c:numCache>
            </c:numRef>
          </c:cat>
          <c:val>
            <c:numRef>
              <c:f>'Hoja 6. AA'!$G$129:$H$129</c:f>
              <c:numCache>
                <c:formatCode>0%</c:formatCode>
                <c:ptCount val="2"/>
                <c:pt idx="0">
                  <c:v>0.67346938775510201</c:v>
                </c:pt>
                <c:pt idx="1">
                  <c:v>0.57894736842105265</c:v>
                </c:pt>
              </c:numCache>
            </c:numRef>
          </c:val>
          <c:smooth val="0"/>
          <c:extLst>
            <c:ext xmlns:c16="http://schemas.microsoft.com/office/drawing/2014/chart" uri="{C3380CC4-5D6E-409C-BE32-E72D297353CC}">
              <c16:uniqueId val="{00000004-942C-4CAB-B7F8-E9D6CBED7EBE}"/>
            </c:ext>
          </c:extLst>
        </c:ser>
        <c:ser>
          <c:idx val="5"/>
          <c:order val="2"/>
          <c:tx>
            <c:strRef>
              <c:f>'Hoja 6. AA'!$A$130:$F$130</c:f>
              <c:strCache>
                <c:ptCount val="6"/>
                <c:pt idx="0">
                  <c:v>Meta</c:v>
                </c:pt>
              </c:strCache>
            </c:strRef>
          </c:tx>
          <c:spPr>
            <a:ln w="28575" cap="rnd">
              <a:solidFill>
                <a:srgbClr val="FF0000"/>
              </a:solidFill>
              <a:prstDash val="dashDot"/>
              <a:round/>
            </a:ln>
            <a:effectLst/>
          </c:spPr>
          <c:marker>
            <c:symbol val="none"/>
          </c:marker>
          <c:cat>
            <c:numRef>
              <c:f>'Hoja 6. AA'!$G$124:$H$124</c:f>
              <c:numCache>
                <c:formatCode>General</c:formatCode>
                <c:ptCount val="2"/>
                <c:pt idx="0">
                  <c:v>2016</c:v>
                </c:pt>
                <c:pt idx="1">
                  <c:v>2017</c:v>
                </c:pt>
              </c:numCache>
            </c:numRef>
          </c:cat>
          <c:val>
            <c:numRef>
              <c:f>'Hoja 6. AA'!$G$130:$H$130</c:f>
              <c:numCache>
                <c:formatCode>0%</c:formatCode>
                <c:ptCount val="2"/>
                <c:pt idx="0">
                  <c:v>0.8</c:v>
                </c:pt>
                <c:pt idx="1">
                  <c:v>0.8</c:v>
                </c:pt>
              </c:numCache>
            </c:numRef>
          </c:val>
          <c:smooth val="0"/>
          <c:extLst>
            <c:ext xmlns:c16="http://schemas.microsoft.com/office/drawing/2014/chart" uri="{C3380CC4-5D6E-409C-BE32-E72D297353CC}">
              <c16:uniqueId val="{00000005-942C-4CAB-B7F8-E9D6CBED7EBE}"/>
            </c:ext>
          </c:extLst>
        </c:ser>
        <c:dLbls>
          <c:showLegendKey val="0"/>
          <c:showVal val="0"/>
          <c:showCatName val="0"/>
          <c:showSerName val="0"/>
          <c:showPercent val="0"/>
          <c:showBubbleSize val="0"/>
        </c:dLbls>
        <c:marker val="1"/>
        <c:smooth val="0"/>
        <c:axId val="686065040"/>
        <c:axId val="686061512"/>
      </c:lineChart>
      <c:catAx>
        <c:axId val="686065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6061512"/>
        <c:crosses val="autoZero"/>
        <c:auto val="1"/>
        <c:lblAlgn val="ctr"/>
        <c:lblOffset val="100"/>
        <c:noMultiLvlLbl val="0"/>
      </c:catAx>
      <c:valAx>
        <c:axId val="68606151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6065040"/>
        <c:crosses val="autoZero"/>
        <c:crossBetween val="between"/>
      </c:valAx>
      <c:spPr>
        <a:noFill/>
        <a:ln>
          <a:noFill/>
        </a:ln>
        <a:effectLst/>
      </c:spPr>
    </c:plotArea>
    <c:legend>
      <c:legendPos val="b"/>
      <c:layout>
        <c:manualLayout>
          <c:xMode val="edge"/>
          <c:yMode val="edge"/>
          <c:x val="0.68285348563035519"/>
          <c:y val="0.43467512938635411"/>
          <c:w val="0.25389521912638258"/>
          <c:h val="0.4265822070833373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6. AA2'!$A$99:$F$99</c:f>
              <c:strCache>
                <c:ptCount val="6"/>
                <c:pt idx="0">
                  <c:v>Porcentaje (%) de Bosques con un Volumen de Aprovechamiento Permisionado Menor o Igual al Permisionable</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6. AA2'!$G$98:$J$98</c:f>
              <c:numCache>
                <c:formatCode>General</c:formatCode>
                <c:ptCount val="4"/>
                <c:pt idx="0">
                  <c:v>2012</c:v>
                </c:pt>
                <c:pt idx="1">
                  <c:v>2013</c:v>
                </c:pt>
                <c:pt idx="2">
                  <c:v>2014</c:v>
                </c:pt>
                <c:pt idx="3">
                  <c:v>2015</c:v>
                </c:pt>
              </c:numCache>
            </c:numRef>
          </c:cat>
          <c:val>
            <c:numRef>
              <c:f>'Hoja 6. AA2'!$G$99:$J$99</c:f>
              <c:numCache>
                <c:formatCode>0%</c:formatCode>
                <c:ptCount val="4"/>
                <c:pt idx="0">
                  <c:v>1</c:v>
                </c:pt>
                <c:pt idx="1">
                  <c:v>1</c:v>
                </c:pt>
                <c:pt idx="2">
                  <c:v>0.77</c:v>
                </c:pt>
                <c:pt idx="3">
                  <c:v>0.66666666666666663</c:v>
                </c:pt>
              </c:numCache>
            </c:numRef>
          </c:val>
          <c:smooth val="0"/>
          <c:extLst>
            <c:ext xmlns:c16="http://schemas.microsoft.com/office/drawing/2014/chart" uri="{C3380CC4-5D6E-409C-BE32-E72D297353CC}">
              <c16:uniqueId val="{00000000-BD72-4994-9DD7-FB8C2DB74AD3}"/>
            </c:ext>
          </c:extLst>
        </c:ser>
        <c:ser>
          <c:idx val="1"/>
          <c:order val="1"/>
          <c:tx>
            <c:strRef>
              <c:f>'Hoja 6. AA2'!$A$100:$F$100</c:f>
              <c:strCache>
                <c:ptCount val="6"/>
                <c:pt idx="0">
                  <c:v>Meta</c:v>
                </c:pt>
              </c:strCache>
            </c:strRef>
          </c:tx>
          <c:spPr>
            <a:ln w="38100">
              <a:solidFill>
                <a:srgbClr val="FF0000"/>
              </a:solidFill>
            </a:ln>
          </c:spPr>
          <c:marker>
            <c:symbol val="none"/>
          </c:marker>
          <c:cat>
            <c:numRef>
              <c:f>'Hoja 6. AA2'!$G$98:$J$98</c:f>
              <c:numCache>
                <c:formatCode>General</c:formatCode>
                <c:ptCount val="4"/>
                <c:pt idx="0">
                  <c:v>2012</c:v>
                </c:pt>
                <c:pt idx="1">
                  <c:v>2013</c:v>
                </c:pt>
                <c:pt idx="2">
                  <c:v>2014</c:v>
                </c:pt>
                <c:pt idx="3">
                  <c:v>2015</c:v>
                </c:pt>
              </c:numCache>
            </c:numRef>
          </c:cat>
          <c:val>
            <c:numRef>
              <c:f>'Hoja 6. AA2'!$G$100:$J$100</c:f>
              <c:numCache>
                <c:formatCode>0%</c:formatCode>
                <c:ptCount val="4"/>
                <c:pt idx="0">
                  <c:v>1</c:v>
                </c:pt>
                <c:pt idx="1">
                  <c:v>1</c:v>
                </c:pt>
                <c:pt idx="2">
                  <c:v>1</c:v>
                </c:pt>
                <c:pt idx="3">
                  <c:v>1</c:v>
                </c:pt>
              </c:numCache>
            </c:numRef>
          </c:val>
          <c:smooth val="0"/>
          <c:extLst>
            <c:ext xmlns:c16="http://schemas.microsoft.com/office/drawing/2014/chart" uri="{C3380CC4-5D6E-409C-BE32-E72D297353CC}">
              <c16:uniqueId val="{00000001-BD72-4994-9DD7-FB8C2DB74AD3}"/>
            </c:ext>
          </c:extLst>
        </c:ser>
        <c:dLbls>
          <c:showLegendKey val="0"/>
          <c:showVal val="0"/>
          <c:showCatName val="0"/>
          <c:showSerName val="0"/>
          <c:showPercent val="0"/>
          <c:showBubbleSize val="0"/>
        </c:dLbls>
        <c:smooth val="0"/>
        <c:axId val="686062688"/>
        <c:axId val="686063080"/>
      </c:lineChart>
      <c:catAx>
        <c:axId val="686062688"/>
        <c:scaling>
          <c:orientation val="minMax"/>
        </c:scaling>
        <c:delete val="0"/>
        <c:axPos val="b"/>
        <c:numFmt formatCode="General" sourceLinked="1"/>
        <c:majorTickMark val="out"/>
        <c:minorTickMark val="none"/>
        <c:tickLblPos val="nextTo"/>
        <c:txPr>
          <a:bodyPr/>
          <a:lstStyle/>
          <a:p>
            <a:pPr>
              <a:defRPr lang="he-IL" sz="1800"/>
            </a:pPr>
            <a:endParaRPr lang="es-CO"/>
          </a:p>
        </c:txPr>
        <c:crossAx val="686063080"/>
        <c:crosses val="autoZero"/>
        <c:auto val="1"/>
        <c:lblAlgn val="ctr"/>
        <c:lblOffset val="100"/>
        <c:noMultiLvlLbl val="0"/>
      </c:catAx>
      <c:valAx>
        <c:axId val="686063080"/>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686062688"/>
        <c:crosses val="autoZero"/>
        <c:crossBetween val="between"/>
        <c:majorUnit val="0.2"/>
      </c:valAx>
    </c:plotArea>
    <c:legend>
      <c:legendPos val="r"/>
      <c:legendEntry>
        <c:idx val="0"/>
        <c:txPr>
          <a:bodyPr/>
          <a:lstStyle/>
          <a:p>
            <a:pPr>
              <a:defRPr sz="1400"/>
            </a:pPr>
            <a:endParaRPr lang="es-CO"/>
          </a:p>
        </c:txPr>
      </c:legendEntry>
      <c:legendEntry>
        <c:idx val="1"/>
        <c:txPr>
          <a:bodyPr/>
          <a:lstStyle/>
          <a:p>
            <a:pPr>
              <a:defRPr sz="1400"/>
            </a:pPr>
            <a:endParaRPr lang="es-CO"/>
          </a:p>
        </c:txPr>
      </c:legendEntry>
      <c:layout>
        <c:manualLayout>
          <c:xMode val="edge"/>
          <c:yMode val="edge"/>
          <c:x val="0.70781900408514287"/>
          <c:y val="3.9245360732353761E-2"/>
          <c:w val="0.28652819706602267"/>
          <c:h val="0.37097389938548653"/>
        </c:manualLayout>
      </c:layout>
      <c:overlay val="0"/>
      <c:txPr>
        <a:bodyPr/>
        <a:lstStyle/>
        <a:p>
          <a:pPr>
            <a:defRPr lang="he-IL" sz="1600"/>
          </a:pPr>
          <a:endParaRPr lang="es-CO"/>
        </a:p>
      </c:txPr>
    </c:legend>
    <c:plotVisOnly val="1"/>
    <c:dispBlanksAs val="gap"/>
    <c:showDLblsOverMax val="0"/>
  </c:chart>
  <c:printSettings>
    <c:headerFooter/>
    <c:pageMargins b="0.75000000000000777" l="0.70000000000000062" r="0.70000000000000062" t="0.75000000000000777" header="0.30000000000000032" footer="0.30000000000000032"/>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056098619381531"/>
          <c:y val="3.9346095301028894E-2"/>
          <c:w val="0.6177986047961419"/>
          <c:h val="0.86245367351466995"/>
        </c:manualLayout>
      </c:layout>
      <c:lineChart>
        <c:grouping val="standard"/>
        <c:varyColors val="0"/>
        <c:ser>
          <c:idx val="0"/>
          <c:order val="0"/>
          <c:tx>
            <c:strRef>
              <c:f>'Hoja 6. AA2'!$A$119:$F$119</c:f>
              <c:strCache>
                <c:ptCount val="6"/>
                <c:pt idx="0">
                  <c:v>Licencia Ambiental</c:v>
                </c:pt>
              </c:strCache>
            </c:strRef>
          </c:tx>
          <c:spPr>
            <a:ln w="28575">
              <a:solidFill>
                <a:schemeClr val="tx2">
                  <a:lumMod val="40000"/>
                  <a:lumOff val="60000"/>
                </a:schemeClr>
              </a:solidFill>
              <a:prstDash val="solid"/>
            </a:ln>
          </c:spPr>
          <c:marker>
            <c:symbol val="none"/>
          </c:marker>
          <c:cat>
            <c:numRef>
              <c:f>'Hoja 6. AA2'!$G$118:$L$118</c:f>
              <c:numCache>
                <c:formatCode>General</c:formatCode>
                <c:ptCount val="6"/>
                <c:pt idx="0">
                  <c:v>2010</c:v>
                </c:pt>
                <c:pt idx="1">
                  <c:v>2011</c:v>
                </c:pt>
                <c:pt idx="2">
                  <c:v>2012</c:v>
                </c:pt>
                <c:pt idx="3">
                  <c:v>2013</c:v>
                </c:pt>
                <c:pt idx="4">
                  <c:v>2014</c:v>
                </c:pt>
                <c:pt idx="5">
                  <c:v>2015</c:v>
                </c:pt>
              </c:numCache>
            </c:numRef>
          </c:cat>
          <c:val>
            <c:numRef>
              <c:f>'Hoja 6. AA2'!$G$119:$L$119</c:f>
              <c:numCache>
                <c:formatCode>0%</c:formatCode>
                <c:ptCount val="6"/>
                <c:pt idx="0">
                  <c:v>1</c:v>
                </c:pt>
                <c:pt idx="1">
                  <c:v>0.6</c:v>
                </c:pt>
                <c:pt idx="2">
                  <c:v>0.5</c:v>
                </c:pt>
                <c:pt idx="3" formatCode="0.00%">
                  <c:v>0.66700000000000004</c:v>
                </c:pt>
                <c:pt idx="4">
                  <c:v>1</c:v>
                </c:pt>
                <c:pt idx="5">
                  <c:v>1</c:v>
                </c:pt>
              </c:numCache>
            </c:numRef>
          </c:val>
          <c:smooth val="0"/>
          <c:extLst>
            <c:ext xmlns:c16="http://schemas.microsoft.com/office/drawing/2014/chart" uri="{C3380CC4-5D6E-409C-BE32-E72D297353CC}">
              <c16:uniqueId val="{00000000-43EA-4140-A790-5C72743189D8}"/>
            </c:ext>
          </c:extLst>
        </c:ser>
        <c:ser>
          <c:idx val="1"/>
          <c:order val="1"/>
          <c:tx>
            <c:strRef>
              <c:f>'Hoja 6. AA2'!$A$120:$F$120</c:f>
              <c:strCache>
                <c:ptCount val="6"/>
                <c:pt idx="0">
                  <c:v>Concesiones de Aguas Subterráneas y Superficiales</c:v>
                </c:pt>
              </c:strCache>
            </c:strRef>
          </c:tx>
          <c:spPr>
            <a:ln w="28575">
              <a:solidFill>
                <a:srgbClr val="00B050"/>
              </a:solidFill>
            </a:ln>
          </c:spPr>
          <c:marker>
            <c:symbol val="none"/>
          </c:marker>
          <c:cat>
            <c:numRef>
              <c:f>'Hoja 6. AA2'!$G$118:$L$118</c:f>
              <c:numCache>
                <c:formatCode>General</c:formatCode>
                <c:ptCount val="6"/>
                <c:pt idx="0">
                  <c:v>2010</c:v>
                </c:pt>
                <c:pt idx="1">
                  <c:v>2011</c:v>
                </c:pt>
                <c:pt idx="2">
                  <c:v>2012</c:v>
                </c:pt>
                <c:pt idx="3">
                  <c:v>2013</c:v>
                </c:pt>
                <c:pt idx="4">
                  <c:v>2014</c:v>
                </c:pt>
                <c:pt idx="5">
                  <c:v>2015</c:v>
                </c:pt>
              </c:numCache>
            </c:numRef>
          </c:cat>
          <c:val>
            <c:numRef>
              <c:f>'Hoja 6. AA2'!$G$120:$L$120</c:f>
              <c:numCache>
                <c:formatCode>0.00%</c:formatCode>
                <c:ptCount val="6"/>
                <c:pt idx="0" formatCode="0%">
                  <c:v>0.5</c:v>
                </c:pt>
                <c:pt idx="1">
                  <c:v>0.73299999999999998</c:v>
                </c:pt>
                <c:pt idx="2">
                  <c:v>0.60499999999999998</c:v>
                </c:pt>
                <c:pt idx="3">
                  <c:v>0.56499999999999995</c:v>
                </c:pt>
                <c:pt idx="4" formatCode="0%">
                  <c:v>0.89</c:v>
                </c:pt>
                <c:pt idx="5" formatCode="0%">
                  <c:v>0.76470588235294112</c:v>
                </c:pt>
              </c:numCache>
            </c:numRef>
          </c:val>
          <c:smooth val="0"/>
          <c:extLst>
            <c:ext xmlns:c16="http://schemas.microsoft.com/office/drawing/2014/chart" uri="{C3380CC4-5D6E-409C-BE32-E72D297353CC}">
              <c16:uniqueId val="{00000001-43EA-4140-A790-5C72743189D8}"/>
            </c:ext>
          </c:extLst>
        </c:ser>
        <c:ser>
          <c:idx val="2"/>
          <c:order val="2"/>
          <c:tx>
            <c:strRef>
              <c:f>'Hoja 6. AA2'!$A$121:$F$121</c:f>
              <c:strCache>
                <c:ptCount val="6"/>
                <c:pt idx="0">
                  <c:v>Permisos de Vertimientos</c:v>
                </c:pt>
              </c:strCache>
            </c:strRef>
          </c:tx>
          <c:spPr>
            <a:ln w="28575">
              <a:solidFill>
                <a:schemeClr val="tx1"/>
              </a:solidFill>
            </a:ln>
          </c:spPr>
          <c:marker>
            <c:symbol val="none"/>
          </c:marker>
          <c:cat>
            <c:numRef>
              <c:f>'Hoja 6. AA2'!$G$118:$L$118</c:f>
              <c:numCache>
                <c:formatCode>General</c:formatCode>
                <c:ptCount val="6"/>
                <c:pt idx="0">
                  <c:v>2010</c:v>
                </c:pt>
                <c:pt idx="1">
                  <c:v>2011</c:v>
                </c:pt>
                <c:pt idx="2">
                  <c:v>2012</c:v>
                </c:pt>
                <c:pt idx="3">
                  <c:v>2013</c:v>
                </c:pt>
                <c:pt idx="4">
                  <c:v>2014</c:v>
                </c:pt>
                <c:pt idx="5">
                  <c:v>2015</c:v>
                </c:pt>
              </c:numCache>
            </c:numRef>
          </c:cat>
          <c:val>
            <c:numRef>
              <c:f>'Hoja 6. AA2'!$G$121:$L$121</c:f>
              <c:numCache>
                <c:formatCode>0.00%</c:formatCode>
                <c:ptCount val="6"/>
                <c:pt idx="0">
                  <c:v>0.94399999999999995</c:v>
                </c:pt>
                <c:pt idx="1">
                  <c:v>0.90900000000000003</c:v>
                </c:pt>
                <c:pt idx="2" formatCode="0%">
                  <c:v>0.4</c:v>
                </c:pt>
                <c:pt idx="3">
                  <c:v>0.375</c:v>
                </c:pt>
                <c:pt idx="4" formatCode="0%">
                  <c:v>0.64</c:v>
                </c:pt>
                <c:pt idx="5" formatCode="0%">
                  <c:v>0.36363636363636365</c:v>
                </c:pt>
              </c:numCache>
            </c:numRef>
          </c:val>
          <c:smooth val="0"/>
          <c:extLst>
            <c:ext xmlns:c16="http://schemas.microsoft.com/office/drawing/2014/chart" uri="{C3380CC4-5D6E-409C-BE32-E72D297353CC}">
              <c16:uniqueId val="{00000002-43EA-4140-A790-5C72743189D8}"/>
            </c:ext>
          </c:extLst>
        </c:ser>
        <c:ser>
          <c:idx val="3"/>
          <c:order val="3"/>
          <c:tx>
            <c:strRef>
              <c:f>'Hoja 6. AA2'!$A$122:$F$122</c:f>
              <c:strCache>
                <c:ptCount val="6"/>
                <c:pt idx="0">
                  <c:v>Aprovechamiento Forestal </c:v>
                </c:pt>
              </c:strCache>
            </c:strRef>
          </c:tx>
          <c:spPr>
            <a:ln w="28575">
              <a:solidFill>
                <a:schemeClr val="accent4">
                  <a:lumMod val="75000"/>
                </a:schemeClr>
              </a:solidFill>
            </a:ln>
          </c:spPr>
          <c:marker>
            <c:symbol val="none"/>
          </c:marker>
          <c:cat>
            <c:numRef>
              <c:f>'Hoja 6. AA2'!$G$118:$L$118</c:f>
              <c:numCache>
                <c:formatCode>General</c:formatCode>
                <c:ptCount val="6"/>
                <c:pt idx="0">
                  <c:v>2010</c:v>
                </c:pt>
                <c:pt idx="1">
                  <c:v>2011</c:v>
                </c:pt>
                <c:pt idx="2">
                  <c:v>2012</c:v>
                </c:pt>
                <c:pt idx="3">
                  <c:v>2013</c:v>
                </c:pt>
                <c:pt idx="4">
                  <c:v>2014</c:v>
                </c:pt>
                <c:pt idx="5">
                  <c:v>2015</c:v>
                </c:pt>
              </c:numCache>
            </c:numRef>
          </c:cat>
          <c:val>
            <c:numRef>
              <c:f>'Hoja 6. AA2'!$G$122:$L$122</c:f>
              <c:numCache>
                <c:formatCode>0.00%</c:formatCode>
                <c:ptCount val="6"/>
                <c:pt idx="0" formatCode="0%">
                  <c:v>0.8</c:v>
                </c:pt>
                <c:pt idx="1">
                  <c:v>0.81100000000000005</c:v>
                </c:pt>
                <c:pt idx="2">
                  <c:v>0.60699999999999998</c:v>
                </c:pt>
                <c:pt idx="3">
                  <c:v>0.66700000000000004</c:v>
                </c:pt>
                <c:pt idx="4" formatCode="0%">
                  <c:v>0.82</c:v>
                </c:pt>
                <c:pt idx="5" formatCode="0%">
                  <c:v>0.8</c:v>
                </c:pt>
              </c:numCache>
            </c:numRef>
          </c:val>
          <c:smooth val="0"/>
          <c:extLst>
            <c:ext xmlns:c16="http://schemas.microsoft.com/office/drawing/2014/chart" uri="{C3380CC4-5D6E-409C-BE32-E72D297353CC}">
              <c16:uniqueId val="{00000003-43EA-4140-A790-5C72743189D8}"/>
            </c:ext>
          </c:extLst>
        </c:ser>
        <c:ser>
          <c:idx val="4"/>
          <c:order val="4"/>
          <c:tx>
            <c:strRef>
              <c:f>'Hoja 6. AA2'!$A$123:$F$123</c:f>
              <c:strCache>
                <c:ptCount val="6"/>
                <c:pt idx="0">
                  <c:v>Porcentaje (%) de Trámites Resueltos en un Tiempo Igual o Inferior a lo Reglamentado en el SGC</c:v>
                </c:pt>
              </c:strCache>
            </c:strRef>
          </c:tx>
          <c:spPr>
            <a:ln w="38100">
              <a:solidFill>
                <a:schemeClr val="accent6">
                  <a:lumMod val="75000"/>
                </a:schemeClr>
              </a:solidFill>
              <a:prstDash val="dash"/>
            </a:ln>
          </c:spPr>
          <c:marker>
            <c:symbol val="none"/>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'Hoja 6. AA2'!$G$118:$L$118</c:f>
              <c:numCache>
                <c:formatCode>General</c:formatCode>
                <c:ptCount val="6"/>
                <c:pt idx="0">
                  <c:v>2010</c:v>
                </c:pt>
                <c:pt idx="1">
                  <c:v>2011</c:v>
                </c:pt>
                <c:pt idx="2">
                  <c:v>2012</c:v>
                </c:pt>
                <c:pt idx="3">
                  <c:v>2013</c:v>
                </c:pt>
                <c:pt idx="4">
                  <c:v>2014</c:v>
                </c:pt>
                <c:pt idx="5">
                  <c:v>2015</c:v>
                </c:pt>
              </c:numCache>
            </c:numRef>
          </c:cat>
          <c:val>
            <c:numRef>
              <c:f>'Hoja 6. AA2'!$G$123:$L$123</c:f>
              <c:numCache>
                <c:formatCode>0.0%</c:formatCode>
                <c:ptCount val="6"/>
                <c:pt idx="0">
                  <c:v>0.76500000000000001</c:v>
                </c:pt>
                <c:pt idx="1">
                  <c:v>0.79400000000000004</c:v>
                </c:pt>
                <c:pt idx="2" formatCode="0%">
                  <c:v>0.57799999999999996</c:v>
                </c:pt>
                <c:pt idx="3">
                  <c:v>0.61399999999999999</c:v>
                </c:pt>
                <c:pt idx="4">
                  <c:v>0.83</c:v>
                </c:pt>
                <c:pt idx="5">
                  <c:v>0.73913043478260865</c:v>
                </c:pt>
              </c:numCache>
            </c:numRef>
          </c:val>
          <c:smooth val="0"/>
          <c:extLst>
            <c:ext xmlns:c16="http://schemas.microsoft.com/office/drawing/2014/chart" uri="{C3380CC4-5D6E-409C-BE32-E72D297353CC}">
              <c16:uniqueId val="{00000004-43EA-4140-A790-5C72743189D8}"/>
            </c:ext>
          </c:extLst>
        </c:ser>
        <c:ser>
          <c:idx val="5"/>
          <c:order val="5"/>
          <c:tx>
            <c:strRef>
              <c:f>'Hoja 6. AA2'!$A$124:$F$124</c:f>
              <c:strCache>
                <c:ptCount val="6"/>
                <c:pt idx="0">
                  <c:v>Meta</c:v>
                </c:pt>
              </c:strCache>
            </c:strRef>
          </c:tx>
          <c:spPr>
            <a:ln w="38100">
              <a:solidFill>
                <a:srgbClr val="FF0000"/>
              </a:solidFill>
            </a:ln>
          </c:spPr>
          <c:marker>
            <c:symbol val="none"/>
          </c:marker>
          <c:cat>
            <c:numRef>
              <c:f>'Hoja 6. AA2'!$G$118:$L$118</c:f>
              <c:numCache>
                <c:formatCode>General</c:formatCode>
                <c:ptCount val="6"/>
                <c:pt idx="0">
                  <c:v>2010</c:v>
                </c:pt>
                <c:pt idx="1">
                  <c:v>2011</c:v>
                </c:pt>
                <c:pt idx="2">
                  <c:v>2012</c:v>
                </c:pt>
                <c:pt idx="3">
                  <c:v>2013</c:v>
                </c:pt>
                <c:pt idx="4">
                  <c:v>2014</c:v>
                </c:pt>
                <c:pt idx="5">
                  <c:v>2015</c:v>
                </c:pt>
              </c:numCache>
            </c:numRef>
          </c:cat>
          <c:val>
            <c:numRef>
              <c:f>'Hoja 6. AA2'!$G$124:$L$124</c:f>
              <c:numCache>
                <c:formatCode>0%</c:formatCode>
                <c:ptCount val="6"/>
                <c:pt idx="0">
                  <c:v>0.8</c:v>
                </c:pt>
                <c:pt idx="1">
                  <c:v>0.8</c:v>
                </c:pt>
                <c:pt idx="2">
                  <c:v>0.8</c:v>
                </c:pt>
                <c:pt idx="3">
                  <c:v>0.8</c:v>
                </c:pt>
                <c:pt idx="4">
                  <c:v>0.8</c:v>
                </c:pt>
                <c:pt idx="5">
                  <c:v>0.8</c:v>
                </c:pt>
              </c:numCache>
            </c:numRef>
          </c:val>
          <c:smooth val="0"/>
          <c:extLst>
            <c:ext xmlns:c16="http://schemas.microsoft.com/office/drawing/2014/chart" uri="{C3380CC4-5D6E-409C-BE32-E72D297353CC}">
              <c16:uniqueId val="{00000005-43EA-4140-A790-5C72743189D8}"/>
            </c:ext>
          </c:extLst>
        </c:ser>
        <c:dLbls>
          <c:showLegendKey val="0"/>
          <c:showVal val="0"/>
          <c:showCatName val="0"/>
          <c:showSerName val="0"/>
          <c:showPercent val="0"/>
          <c:showBubbleSize val="0"/>
        </c:dLbls>
        <c:smooth val="0"/>
        <c:axId val="558316992"/>
        <c:axId val="558315424"/>
      </c:lineChart>
      <c:catAx>
        <c:axId val="558316992"/>
        <c:scaling>
          <c:orientation val="minMax"/>
        </c:scaling>
        <c:delete val="0"/>
        <c:axPos val="b"/>
        <c:numFmt formatCode="General" sourceLinked="1"/>
        <c:majorTickMark val="out"/>
        <c:minorTickMark val="none"/>
        <c:tickLblPos val="nextTo"/>
        <c:crossAx val="558315424"/>
        <c:crosses val="autoZero"/>
        <c:auto val="1"/>
        <c:lblAlgn val="ctr"/>
        <c:lblOffset val="100"/>
        <c:noMultiLvlLbl val="0"/>
      </c:catAx>
      <c:valAx>
        <c:axId val="558315424"/>
        <c:scaling>
          <c:orientation val="minMax"/>
          <c:min val="0.2"/>
        </c:scaling>
        <c:delete val="0"/>
        <c:axPos val="l"/>
        <c:majorGridlines/>
        <c:numFmt formatCode="0%" sourceLinked="1"/>
        <c:majorTickMark val="out"/>
        <c:minorTickMark val="none"/>
        <c:tickLblPos val="nextTo"/>
        <c:crossAx val="558316992"/>
        <c:crosses val="autoZero"/>
        <c:crossBetween val="between"/>
      </c:valAx>
    </c:plotArea>
    <c:legend>
      <c:legendPos val="r"/>
      <c:legendEntry>
        <c:idx val="0"/>
        <c:txPr>
          <a:bodyPr/>
          <a:lstStyle/>
          <a:p>
            <a:pPr>
              <a:defRPr sz="1000"/>
            </a:pPr>
            <a:endParaRPr lang="es-CO"/>
          </a:p>
        </c:txPr>
      </c:legendEntry>
      <c:legendEntry>
        <c:idx val="1"/>
        <c:txPr>
          <a:bodyPr/>
          <a:lstStyle/>
          <a:p>
            <a:pPr>
              <a:defRPr sz="1000"/>
            </a:pPr>
            <a:endParaRPr lang="es-CO"/>
          </a:p>
        </c:txPr>
      </c:legendEntry>
      <c:layout>
        <c:manualLayout>
          <c:xMode val="edge"/>
          <c:yMode val="edge"/>
          <c:x val="0.76605714086456245"/>
          <c:y val="9.3644052273015255E-2"/>
          <c:w val="0.2283077908240384"/>
          <c:h val="0.62058451065182163"/>
        </c:manualLayout>
      </c:layout>
      <c:overlay val="0"/>
      <c:txPr>
        <a:bodyPr/>
        <a:lstStyle/>
        <a:p>
          <a:pPr>
            <a:defRPr sz="1000"/>
          </a:pPr>
          <a:endParaRPr lang="es-CO"/>
        </a:p>
      </c:txPr>
    </c:legend>
    <c:plotVisOnly val="1"/>
    <c:dispBlanksAs val="gap"/>
    <c:showDLblsOverMax val="0"/>
  </c:chart>
  <c:txPr>
    <a:bodyPr/>
    <a:lstStyle/>
    <a:p>
      <a:pPr>
        <a:defRPr sz="900"/>
      </a:pPr>
      <a:endParaRPr lang="es-CO"/>
    </a:p>
  </c:txPr>
  <c:printSettings>
    <c:headerFooter/>
    <c:pageMargins b="0.75000000000000799" l="0.70000000000000062" r="0.70000000000000062" t="0.75000000000000799" header="0.30000000000000032" footer="0.30000000000000032"/>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52195707503358"/>
          <c:y val="1.8305402645651381E-2"/>
          <c:w val="0.58722487656755451"/>
          <c:h val="0.93600785873462899"/>
        </c:manualLayout>
      </c:layout>
      <c:lineChart>
        <c:grouping val="standard"/>
        <c:varyColors val="0"/>
        <c:ser>
          <c:idx val="0"/>
          <c:order val="0"/>
          <c:tx>
            <c:strRef>
              <c:f>'Hoja 6. AA2'!$A$202:$F$202</c:f>
              <c:strCache>
                <c:ptCount val="6"/>
                <c:pt idx="0">
                  <c:v>%  Tramites Aprovechamiento Forestales Cumpliendo la Meta de Revisión Documental</c:v>
                </c:pt>
              </c:strCache>
            </c:strRef>
          </c:tx>
          <c:spPr>
            <a:ln w="38100">
              <a:solidFill>
                <a:schemeClr val="accent6">
                  <a:lumMod val="75000"/>
                </a:schemeClr>
              </a:solidFill>
              <a:prstDash val="dash"/>
            </a:ln>
          </c:spPr>
          <c:marker>
            <c:symbol val="none"/>
          </c:marker>
          <c:cat>
            <c:numRef>
              <c:f>'Hoja 6. AA2'!$G$201:$K$201</c:f>
              <c:numCache>
                <c:formatCode>General</c:formatCode>
                <c:ptCount val="5"/>
                <c:pt idx="0">
                  <c:v>2011</c:v>
                </c:pt>
                <c:pt idx="1">
                  <c:v>2012</c:v>
                </c:pt>
                <c:pt idx="2">
                  <c:v>2013</c:v>
                </c:pt>
                <c:pt idx="3">
                  <c:v>2014</c:v>
                </c:pt>
                <c:pt idx="4">
                  <c:v>2015</c:v>
                </c:pt>
              </c:numCache>
            </c:numRef>
          </c:cat>
          <c:val>
            <c:numRef>
              <c:f>'Hoja 6. AA2'!$G$202:$K$202</c:f>
              <c:numCache>
                <c:formatCode>0%</c:formatCode>
                <c:ptCount val="5"/>
                <c:pt idx="0">
                  <c:v>1</c:v>
                </c:pt>
                <c:pt idx="1">
                  <c:v>1</c:v>
                </c:pt>
                <c:pt idx="2">
                  <c:v>1</c:v>
                </c:pt>
                <c:pt idx="3">
                  <c:v>1</c:v>
                </c:pt>
                <c:pt idx="4">
                  <c:v>0.91874999999999996</c:v>
                </c:pt>
              </c:numCache>
            </c:numRef>
          </c:val>
          <c:smooth val="0"/>
          <c:extLst>
            <c:ext xmlns:c16="http://schemas.microsoft.com/office/drawing/2014/chart" uri="{C3380CC4-5D6E-409C-BE32-E72D297353CC}">
              <c16:uniqueId val="{00000000-C3C6-4A46-BD63-07381DA5A154}"/>
            </c:ext>
          </c:extLst>
        </c:ser>
        <c:ser>
          <c:idx val="1"/>
          <c:order val="1"/>
          <c:tx>
            <c:strRef>
              <c:f>'Hoja 6. AA2'!$A$203:$F$203</c:f>
              <c:strCache>
                <c:ptCount val="6"/>
                <c:pt idx="0">
                  <c:v>%  Tramites Aprovechamientos Forestales Cumpliendo la Meta de Revisión en Campo</c:v>
                </c:pt>
              </c:strCache>
            </c:strRef>
          </c:tx>
          <c:spPr>
            <a:ln w="28575">
              <a:solidFill>
                <a:schemeClr val="tx2">
                  <a:lumMod val="75000"/>
                </a:schemeClr>
              </a:solidFill>
              <a:prstDash val="dash"/>
            </a:ln>
          </c:spPr>
          <c:marker>
            <c:symbol val="none"/>
          </c:marker>
          <c:cat>
            <c:numRef>
              <c:f>'Hoja 6. AA2'!$G$201:$K$201</c:f>
              <c:numCache>
                <c:formatCode>General</c:formatCode>
                <c:ptCount val="5"/>
                <c:pt idx="0">
                  <c:v>2011</c:v>
                </c:pt>
                <c:pt idx="1">
                  <c:v>2012</c:v>
                </c:pt>
                <c:pt idx="2">
                  <c:v>2013</c:v>
                </c:pt>
                <c:pt idx="3">
                  <c:v>2014</c:v>
                </c:pt>
                <c:pt idx="4">
                  <c:v>2015</c:v>
                </c:pt>
              </c:numCache>
            </c:numRef>
          </c:cat>
          <c:val>
            <c:numRef>
              <c:f>'Hoja 6. AA2'!$G$203:$K$203</c:f>
              <c:numCache>
                <c:formatCode>0%</c:formatCode>
                <c:ptCount val="5"/>
                <c:pt idx="0">
                  <c:v>1</c:v>
                </c:pt>
                <c:pt idx="1">
                  <c:v>1</c:v>
                </c:pt>
                <c:pt idx="2">
                  <c:v>1</c:v>
                </c:pt>
                <c:pt idx="3">
                  <c:v>1</c:v>
                </c:pt>
                <c:pt idx="4">
                  <c:v>1</c:v>
                </c:pt>
              </c:numCache>
            </c:numRef>
          </c:val>
          <c:smooth val="0"/>
          <c:extLst>
            <c:ext xmlns:c16="http://schemas.microsoft.com/office/drawing/2014/chart" uri="{C3380CC4-5D6E-409C-BE32-E72D297353CC}">
              <c16:uniqueId val="{00000001-C3C6-4A46-BD63-07381DA5A154}"/>
            </c:ext>
          </c:extLst>
        </c:ser>
        <c:ser>
          <c:idx val="2"/>
          <c:order val="2"/>
          <c:tx>
            <c:strRef>
              <c:f>'Hoja 6. AA2'!$A$205:$F$205</c:f>
              <c:strCache>
                <c:ptCount val="6"/>
                <c:pt idx="0">
                  <c:v>Meta de Revision en Campo</c:v>
                </c:pt>
              </c:strCache>
            </c:strRef>
          </c:tx>
          <c:spPr>
            <a:ln w="38100">
              <a:solidFill>
                <a:srgbClr val="FF0000"/>
              </a:solidFill>
            </a:ln>
          </c:spPr>
          <c:marker>
            <c:symbol val="none"/>
          </c:marker>
          <c:cat>
            <c:numRef>
              <c:f>'Hoja 6. AA2'!$G$201:$K$201</c:f>
              <c:numCache>
                <c:formatCode>General</c:formatCode>
                <c:ptCount val="5"/>
                <c:pt idx="0">
                  <c:v>2011</c:v>
                </c:pt>
                <c:pt idx="1">
                  <c:v>2012</c:v>
                </c:pt>
                <c:pt idx="2">
                  <c:v>2013</c:v>
                </c:pt>
                <c:pt idx="3">
                  <c:v>2014</c:v>
                </c:pt>
                <c:pt idx="4">
                  <c:v>2015</c:v>
                </c:pt>
              </c:numCache>
            </c:numRef>
          </c:cat>
          <c:val>
            <c:numRef>
              <c:f>'Hoja 6. AA2'!$G$205:$K$205</c:f>
              <c:numCache>
                <c:formatCode>0%</c:formatCode>
                <c:ptCount val="5"/>
                <c:pt idx="0">
                  <c:v>0.1</c:v>
                </c:pt>
                <c:pt idx="1">
                  <c:v>0.1</c:v>
                </c:pt>
                <c:pt idx="2">
                  <c:v>0.1</c:v>
                </c:pt>
                <c:pt idx="3">
                  <c:v>0.1</c:v>
                </c:pt>
                <c:pt idx="4">
                  <c:v>0.1</c:v>
                </c:pt>
              </c:numCache>
            </c:numRef>
          </c:val>
          <c:smooth val="0"/>
          <c:extLst>
            <c:ext xmlns:c16="http://schemas.microsoft.com/office/drawing/2014/chart" uri="{C3380CC4-5D6E-409C-BE32-E72D297353CC}">
              <c16:uniqueId val="{00000002-C3C6-4A46-BD63-07381DA5A154}"/>
            </c:ext>
          </c:extLst>
        </c:ser>
        <c:ser>
          <c:idx val="3"/>
          <c:order val="3"/>
          <c:tx>
            <c:strRef>
              <c:f>'Hoja 6. AA2'!$A$204:$F$204</c:f>
              <c:strCache>
                <c:ptCount val="6"/>
                <c:pt idx="0">
                  <c:v>Meta de Revisión Documental</c:v>
                </c:pt>
              </c:strCache>
            </c:strRef>
          </c:tx>
          <c:marker>
            <c:symbol val="none"/>
          </c:marker>
          <c:val>
            <c:numRef>
              <c:f>'Hoja 6. AA2'!$G$204:$K$204</c:f>
              <c:numCache>
                <c:formatCode>0%</c:formatCode>
                <c:ptCount val="5"/>
                <c:pt idx="0">
                  <c:v>0.95</c:v>
                </c:pt>
                <c:pt idx="1">
                  <c:v>0.95</c:v>
                </c:pt>
                <c:pt idx="2">
                  <c:v>0.95</c:v>
                </c:pt>
                <c:pt idx="3">
                  <c:v>0.95</c:v>
                </c:pt>
                <c:pt idx="4">
                  <c:v>0.95</c:v>
                </c:pt>
              </c:numCache>
            </c:numRef>
          </c:val>
          <c:smooth val="0"/>
          <c:extLst>
            <c:ext xmlns:c16="http://schemas.microsoft.com/office/drawing/2014/chart" uri="{C3380CC4-5D6E-409C-BE32-E72D297353CC}">
              <c16:uniqueId val="{00000003-C3C6-4A46-BD63-07381DA5A154}"/>
            </c:ext>
          </c:extLst>
        </c:ser>
        <c:dLbls>
          <c:showLegendKey val="0"/>
          <c:showVal val="0"/>
          <c:showCatName val="0"/>
          <c:showSerName val="0"/>
          <c:showPercent val="0"/>
          <c:showBubbleSize val="0"/>
        </c:dLbls>
        <c:smooth val="0"/>
        <c:axId val="558317384"/>
        <c:axId val="558315816"/>
      </c:lineChart>
      <c:catAx>
        <c:axId val="558317384"/>
        <c:scaling>
          <c:orientation val="minMax"/>
        </c:scaling>
        <c:delete val="0"/>
        <c:axPos val="b"/>
        <c:numFmt formatCode="General" sourceLinked="1"/>
        <c:majorTickMark val="out"/>
        <c:minorTickMark val="none"/>
        <c:tickLblPos val="nextTo"/>
        <c:txPr>
          <a:bodyPr/>
          <a:lstStyle/>
          <a:p>
            <a:pPr>
              <a:defRPr lang="he-IL" sz="1800"/>
            </a:pPr>
            <a:endParaRPr lang="es-CO"/>
          </a:p>
        </c:txPr>
        <c:crossAx val="558315816"/>
        <c:crosses val="autoZero"/>
        <c:auto val="1"/>
        <c:lblAlgn val="ctr"/>
        <c:lblOffset val="100"/>
        <c:noMultiLvlLbl val="0"/>
      </c:catAx>
      <c:valAx>
        <c:axId val="558315816"/>
        <c:scaling>
          <c:orientation val="minMax"/>
          <c:min val="0.5"/>
        </c:scaling>
        <c:delete val="0"/>
        <c:axPos val="l"/>
        <c:majorGridlines/>
        <c:numFmt formatCode="0%" sourceLinked="1"/>
        <c:majorTickMark val="out"/>
        <c:minorTickMark val="none"/>
        <c:tickLblPos val="nextTo"/>
        <c:txPr>
          <a:bodyPr/>
          <a:lstStyle/>
          <a:p>
            <a:pPr>
              <a:defRPr lang="he-IL" sz="1800"/>
            </a:pPr>
            <a:endParaRPr lang="es-CO"/>
          </a:p>
        </c:txPr>
        <c:crossAx val="558317384"/>
        <c:crosses val="autoZero"/>
        <c:crossBetween val="between"/>
      </c:valAx>
    </c:plotArea>
    <c:legend>
      <c:legendPos val="r"/>
      <c:legendEntry>
        <c:idx val="0"/>
        <c:txPr>
          <a:bodyPr/>
          <a:lstStyle/>
          <a:p>
            <a:pPr>
              <a:defRPr sz="1400"/>
            </a:pPr>
            <a:endParaRPr lang="es-CO"/>
          </a:p>
        </c:txPr>
      </c:legendEntry>
      <c:layout>
        <c:manualLayout>
          <c:xMode val="edge"/>
          <c:yMode val="edge"/>
          <c:x val="0.71739036257212163"/>
          <c:y val="3.1718519473121681E-2"/>
          <c:w val="0.28260963742787837"/>
          <c:h val="0.73394208986708032"/>
        </c:manualLayout>
      </c:layout>
      <c:overlay val="0"/>
      <c:txPr>
        <a:bodyPr/>
        <a:lstStyle/>
        <a:p>
          <a:pPr>
            <a:defRPr lang="he-IL" sz="1400"/>
          </a:pPr>
          <a:endParaRPr lang="es-CO"/>
        </a:p>
      </c:txPr>
    </c:legend>
    <c:plotVisOnly val="1"/>
    <c:dispBlanksAs val="gap"/>
    <c:showDLblsOverMax val="0"/>
  </c:chart>
  <c:printSettings>
    <c:headerFooter/>
    <c:pageMargins b="0.75000000000000822" l="0.70000000000000062" r="0.70000000000000062" t="0.75000000000000822" header="0.30000000000000032" footer="0.30000000000000032"/>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6. AA2'!$A$283:$F$283</c:f>
              <c:strCache>
                <c:ptCount val="6"/>
                <c:pt idx="0">
                  <c:v>Regional Centro</c:v>
                </c:pt>
              </c:strCache>
            </c:strRef>
          </c:tx>
          <c:spPr>
            <a:ln w="28575">
              <a:solidFill>
                <a:schemeClr val="tx2">
                  <a:lumMod val="50000"/>
                </a:schemeClr>
              </a:solidFill>
            </a:ln>
          </c:spPr>
          <c:marker>
            <c:symbol val="none"/>
          </c:marker>
          <c:cat>
            <c:numRef>
              <c:f>'Hoja 6. AA2'!$G$282:$K$282</c:f>
              <c:numCache>
                <c:formatCode>General</c:formatCode>
                <c:ptCount val="5"/>
                <c:pt idx="0">
                  <c:v>2012</c:v>
                </c:pt>
                <c:pt idx="1">
                  <c:v>2013</c:v>
                </c:pt>
                <c:pt idx="2">
                  <c:v>2014</c:v>
                </c:pt>
                <c:pt idx="3">
                  <c:v>2015</c:v>
                </c:pt>
                <c:pt idx="4">
                  <c:v>2016</c:v>
                </c:pt>
              </c:numCache>
            </c:numRef>
          </c:cat>
          <c:val>
            <c:numRef>
              <c:f>'Hoja 6. AA2'!$G$283:$K$283</c:f>
              <c:numCache>
                <c:formatCode>0%</c:formatCode>
                <c:ptCount val="5"/>
                <c:pt idx="0">
                  <c:v>0.94</c:v>
                </c:pt>
                <c:pt idx="1">
                  <c:v>0.96</c:v>
                </c:pt>
                <c:pt idx="2">
                  <c:v>0.86</c:v>
                </c:pt>
                <c:pt idx="4">
                  <c:v>1</c:v>
                </c:pt>
              </c:numCache>
            </c:numRef>
          </c:val>
          <c:smooth val="0"/>
          <c:extLst>
            <c:ext xmlns:c16="http://schemas.microsoft.com/office/drawing/2014/chart" uri="{C3380CC4-5D6E-409C-BE32-E72D297353CC}">
              <c16:uniqueId val="{00000000-D321-426B-84DF-144736548181}"/>
            </c:ext>
          </c:extLst>
        </c:ser>
        <c:ser>
          <c:idx val="1"/>
          <c:order val="1"/>
          <c:tx>
            <c:strRef>
              <c:f>'Hoja 6. AA2'!$A$284:$F$284</c:f>
              <c:strCache>
                <c:ptCount val="6"/>
                <c:pt idx="0">
                  <c:v>Regional Atrato</c:v>
                </c:pt>
              </c:strCache>
            </c:strRef>
          </c:tx>
          <c:spPr>
            <a:ln w="28575"/>
          </c:spPr>
          <c:marker>
            <c:symbol val="none"/>
          </c:marker>
          <c:cat>
            <c:numRef>
              <c:f>'Hoja 6. AA2'!$G$282:$K$282</c:f>
              <c:numCache>
                <c:formatCode>General</c:formatCode>
                <c:ptCount val="5"/>
                <c:pt idx="0">
                  <c:v>2012</c:v>
                </c:pt>
                <c:pt idx="1">
                  <c:v>2013</c:v>
                </c:pt>
                <c:pt idx="2">
                  <c:v>2014</c:v>
                </c:pt>
                <c:pt idx="3">
                  <c:v>2015</c:v>
                </c:pt>
                <c:pt idx="4">
                  <c:v>2016</c:v>
                </c:pt>
              </c:numCache>
            </c:numRef>
          </c:cat>
          <c:val>
            <c:numRef>
              <c:f>'Hoja 6. AA2'!$G$284:$K$284</c:f>
              <c:numCache>
                <c:formatCode>0%</c:formatCode>
                <c:ptCount val="5"/>
                <c:pt idx="3">
                  <c:v>1</c:v>
                </c:pt>
                <c:pt idx="4">
                  <c:v>1</c:v>
                </c:pt>
              </c:numCache>
            </c:numRef>
          </c:val>
          <c:smooth val="0"/>
          <c:extLst>
            <c:ext xmlns:c16="http://schemas.microsoft.com/office/drawing/2014/chart" uri="{C3380CC4-5D6E-409C-BE32-E72D297353CC}">
              <c16:uniqueId val="{00000001-D321-426B-84DF-144736548181}"/>
            </c:ext>
          </c:extLst>
        </c:ser>
        <c:ser>
          <c:idx val="2"/>
          <c:order val="2"/>
          <c:tx>
            <c:strRef>
              <c:f>'Hoja 6. AA2'!$A$285:$F$285</c:f>
              <c:strCache>
                <c:ptCount val="6"/>
                <c:pt idx="0">
                  <c:v>Regional Caribe</c:v>
                </c:pt>
              </c:strCache>
            </c:strRef>
          </c:tx>
          <c:marker>
            <c:symbol val="none"/>
          </c:marker>
          <c:cat>
            <c:numRef>
              <c:f>'Hoja 6. AA2'!$G$282:$K$282</c:f>
              <c:numCache>
                <c:formatCode>General</c:formatCode>
                <c:ptCount val="5"/>
                <c:pt idx="0">
                  <c:v>2012</c:v>
                </c:pt>
                <c:pt idx="1">
                  <c:v>2013</c:v>
                </c:pt>
                <c:pt idx="2">
                  <c:v>2014</c:v>
                </c:pt>
                <c:pt idx="3">
                  <c:v>2015</c:v>
                </c:pt>
                <c:pt idx="4">
                  <c:v>2016</c:v>
                </c:pt>
              </c:numCache>
            </c:numRef>
          </c:cat>
          <c:val>
            <c:numRef>
              <c:f>'Hoja 6. AA2'!$G$285:$K$285</c:f>
              <c:numCache>
                <c:formatCode>0%</c:formatCode>
                <c:ptCount val="5"/>
                <c:pt idx="3">
                  <c:v>1</c:v>
                </c:pt>
                <c:pt idx="4">
                  <c:v>0.9375</c:v>
                </c:pt>
              </c:numCache>
            </c:numRef>
          </c:val>
          <c:smooth val="0"/>
          <c:extLst>
            <c:ext xmlns:c16="http://schemas.microsoft.com/office/drawing/2014/chart" uri="{C3380CC4-5D6E-409C-BE32-E72D297353CC}">
              <c16:uniqueId val="{00000002-D321-426B-84DF-144736548181}"/>
            </c:ext>
          </c:extLst>
        </c:ser>
        <c:ser>
          <c:idx val="3"/>
          <c:order val="3"/>
          <c:tx>
            <c:strRef>
              <c:f>'Hoja 6. AA2'!$A$286:$F$286</c:f>
              <c:strCache>
                <c:ptCount val="6"/>
                <c:pt idx="0">
                  <c:v>Regional Nutibara</c:v>
                </c:pt>
              </c:strCache>
            </c:strRef>
          </c:tx>
          <c:marker>
            <c:symbol val="none"/>
          </c:marker>
          <c:cat>
            <c:numRef>
              <c:f>'Hoja 6. AA2'!$G$282:$K$282</c:f>
              <c:numCache>
                <c:formatCode>General</c:formatCode>
                <c:ptCount val="5"/>
                <c:pt idx="0">
                  <c:v>2012</c:v>
                </c:pt>
                <c:pt idx="1">
                  <c:v>2013</c:v>
                </c:pt>
                <c:pt idx="2">
                  <c:v>2014</c:v>
                </c:pt>
                <c:pt idx="3">
                  <c:v>2015</c:v>
                </c:pt>
                <c:pt idx="4">
                  <c:v>2016</c:v>
                </c:pt>
              </c:numCache>
            </c:numRef>
          </c:cat>
          <c:val>
            <c:numRef>
              <c:f>'Hoja 6. AA2'!$G$286:$K$286</c:f>
              <c:numCache>
                <c:formatCode>0%</c:formatCode>
                <c:ptCount val="5"/>
                <c:pt idx="3">
                  <c:v>1</c:v>
                </c:pt>
                <c:pt idx="4">
                  <c:v>0.90909090909090906</c:v>
                </c:pt>
              </c:numCache>
            </c:numRef>
          </c:val>
          <c:smooth val="0"/>
          <c:extLst>
            <c:ext xmlns:c16="http://schemas.microsoft.com/office/drawing/2014/chart" uri="{C3380CC4-5D6E-409C-BE32-E72D297353CC}">
              <c16:uniqueId val="{00000003-D321-426B-84DF-144736548181}"/>
            </c:ext>
          </c:extLst>
        </c:ser>
        <c:ser>
          <c:idx val="4"/>
          <c:order val="4"/>
          <c:tx>
            <c:strRef>
              <c:f>'Hoja 6. AA2'!$A$287:$F$287</c:f>
              <c:strCache>
                <c:ptCount val="6"/>
                <c:pt idx="0">
                  <c:v>Regional Urrao</c:v>
                </c:pt>
              </c:strCache>
            </c:strRef>
          </c:tx>
          <c:marker>
            <c:symbol val="none"/>
          </c:marker>
          <c:cat>
            <c:numRef>
              <c:f>'Hoja 6. AA2'!$G$282:$K$282</c:f>
              <c:numCache>
                <c:formatCode>General</c:formatCode>
                <c:ptCount val="5"/>
                <c:pt idx="0">
                  <c:v>2012</c:v>
                </c:pt>
                <c:pt idx="1">
                  <c:v>2013</c:v>
                </c:pt>
                <c:pt idx="2">
                  <c:v>2014</c:v>
                </c:pt>
                <c:pt idx="3">
                  <c:v>2015</c:v>
                </c:pt>
                <c:pt idx="4">
                  <c:v>2016</c:v>
                </c:pt>
              </c:numCache>
            </c:numRef>
          </c:cat>
          <c:val>
            <c:numRef>
              <c:f>'Hoja 6. AA2'!$G$287:$K$287</c:f>
              <c:numCache>
                <c:formatCode>0%</c:formatCode>
                <c:ptCount val="5"/>
                <c:pt idx="3">
                  <c:v>0.5</c:v>
                </c:pt>
                <c:pt idx="4">
                  <c:v>0.9</c:v>
                </c:pt>
              </c:numCache>
            </c:numRef>
          </c:val>
          <c:smooth val="0"/>
          <c:extLst>
            <c:ext xmlns:c16="http://schemas.microsoft.com/office/drawing/2014/chart" uri="{C3380CC4-5D6E-409C-BE32-E72D297353CC}">
              <c16:uniqueId val="{00000004-D321-426B-84DF-144736548181}"/>
            </c:ext>
          </c:extLst>
        </c:ser>
        <c:ser>
          <c:idx val="5"/>
          <c:order val="5"/>
          <c:tx>
            <c:strRef>
              <c:f>'Hoja 6. AA2'!$A$288:$F$288</c:f>
              <c:strCache>
                <c:ptCount val="6"/>
                <c:pt idx="0">
                  <c:v>Todas las Regionales</c:v>
                </c:pt>
              </c:strCache>
            </c:strRef>
          </c:tx>
          <c:spPr>
            <a:ln w="38100">
              <a:solidFill>
                <a:schemeClr val="accent6">
                  <a:lumMod val="75000"/>
                </a:schemeClr>
              </a:solidFill>
              <a:prstDash val="dash"/>
            </a:ln>
          </c:spPr>
          <c:marker>
            <c:symbol val="none"/>
          </c:marker>
          <c:dLbls>
            <c:spPr>
              <a:noFill/>
              <a:ln>
                <a:noFill/>
              </a:ln>
              <a:effectLst/>
            </c:spPr>
            <c:txPr>
              <a:bodyPr wrap="square" lIns="38100" tIns="19050" rIns="38100" bIns="19050" anchor="ctr">
                <a:spAutoFit/>
              </a:bodyPr>
              <a:lstStyle/>
              <a:p>
                <a:pPr>
                  <a:defRPr sz="16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'Hoja 6. AA2'!$G$282:$K$282</c:f>
              <c:numCache>
                <c:formatCode>General</c:formatCode>
                <c:ptCount val="5"/>
                <c:pt idx="0">
                  <c:v>2012</c:v>
                </c:pt>
                <c:pt idx="1">
                  <c:v>2013</c:v>
                </c:pt>
                <c:pt idx="2">
                  <c:v>2014</c:v>
                </c:pt>
                <c:pt idx="3">
                  <c:v>2015</c:v>
                </c:pt>
                <c:pt idx="4">
                  <c:v>2016</c:v>
                </c:pt>
              </c:numCache>
            </c:numRef>
          </c:cat>
          <c:val>
            <c:numRef>
              <c:f>'Hoja 6. AA2'!$G$288:$K$288</c:f>
              <c:numCache>
                <c:formatCode>0%</c:formatCode>
                <c:ptCount val="5"/>
                <c:pt idx="0">
                  <c:v>0.97</c:v>
                </c:pt>
                <c:pt idx="1">
                  <c:v>0.98</c:v>
                </c:pt>
                <c:pt idx="2">
                  <c:v>0.97</c:v>
                </c:pt>
                <c:pt idx="3">
                  <c:v>0.88888888888888884</c:v>
                </c:pt>
                <c:pt idx="4">
                  <c:v>0.9285714285714286</c:v>
                </c:pt>
              </c:numCache>
            </c:numRef>
          </c:val>
          <c:smooth val="0"/>
          <c:extLst>
            <c:ext xmlns:c16="http://schemas.microsoft.com/office/drawing/2014/chart" uri="{C3380CC4-5D6E-409C-BE32-E72D297353CC}">
              <c16:uniqueId val="{00000005-D321-426B-84DF-144736548181}"/>
            </c:ext>
          </c:extLst>
        </c:ser>
        <c:ser>
          <c:idx val="6"/>
          <c:order val="6"/>
          <c:tx>
            <c:strRef>
              <c:f>'Hoja 6. AA2'!$A$289:$F$289</c:f>
              <c:strCache>
                <c:ptCount val="6"/>
                <c:pt idx="0">
                  <c:v>Meta</c:v>
                </c:pt>
              </c:strCache>
            </c:strRef>
          </c:tx>
          <c:spPr>
            <a:ln w="38100">
              <a:solidFill>
                <a:srgbClr val="FF0000"/>
              </a:solidFill>
            </a:ln>
          </c:spPr>
          <c:marker>
            <c:symbol val="none"/>
          </c:marker>
          <c:cat>
            <c:numRef>
              <c:f>'Hoja 6. AA2'!$G$282:$K$282</c:f>
              <c:numCache>
                <c:formatCode>General</c:formatCode>
                <c:ptCount val="5"/>
                <c:pt idx="0">
                  <c:v>2012</c:v>
                </c:pt>
                <c:pt idx="1">
                  <c:v>2013</c:v>
                </c:pt>
                <c:pt idx="2">
                  <c:v>2014</c:v>
                </c:pt>
                <c:pt idx="3">
                  <c:v>2015</c:v>
                </c:pt>
                <c:pt idx="4">
                  <c:v>2016</c:v>
                </c:pt>
              </c:numCache>
            </c:numRef>
          </c:cat>
          <c:val>
            <c:numRef>
              <c:f>'Hoja 6. AA2'!$G$289:$K$289</c:f>
              <c:numCache>
                <c:formatCode>0%</c:formatCode>
                <c:ptCount val="5"/>
                <c:pt idx="0">
                  <c:v>0.9</c:v>
                </c:pt>
                <c:pt idx="1">
                  <c:v>0.9</c:v>
                </c:pt>
                <c:pt idx="2">
                  <c:v>0.9</c:v>
                </c:pt>
                <c:pt idx="3">
                  <c:v>0.9</c:v>
                </c:pt>
                <c:pt idx="4">
                  <c:v>0.9</c:v>
                </c:pt>
              </c:numCache>
            </c:numRef>
          </c:val>
          <c:smooth val="0"/>
          <c:extLst>
            <c:ext xmlns:c16="http://schemas.microsoft.com/office/drawing/2014/chart" uri="{C3380CC4-5D6E-409C-BE32-E72D297353CC}">
              <c16:uniqueId val="{00000006-D321-426B-84DF-144736548181}"/>
            </c:ext>
          </c:extLst>
        </c:ser>
        <c:dLbls>
          <c:showLegendKey val="0"/>
          <c:showVal val="0"/>
          <c:showCatName val="0"/>
          <c:showSerName val="0"/>
          <c:showPercent val="0"/>
          <c:showBubbleSize val="0"/>
        </c:dLbls>
        <c:smooth val="0"/>
        <c:axId val="558316600"/>
        <c:axId val="558313856"/>
      </c:lineChart>
      <c:catAx>
        <c:axId val="558316600"/>
        <c:scaling>
          <c:orientation val="minMax"/>
        </c:scaling>
        <c:delete val="0"/>
        <c:axPos val="b"/>
        <c:numFmt formatCode="General" sourceLinked="1"/>
        <c:majorTickMark val="out"/>
        <c:minorTickMark val="none"/>
        <c:tickLblPos val="nextTo"/>
        <c:txPr>
          <a:bodyPr/>
          <a:lstStyle/>
          <a:p>
            <a:pPr>
              <a:defRPr lang="he-IL" sz="1800"/>
            </a:pPr>
            <a:endParaRPr lang="es-CO"/>
          </a:p>
        </c:txPr>
        <c:crossAx val="558313856"/>
        <c:crosses val="autoZero"/>
        <c:auto val="1"/>
        <c:lblAlgn val="ctr"/>
        <c:lblOffset val="100"/>
        <c:noMultiLvlLbl val="0"/>
      </c:catAx>
      <c:valAx>
        <c:axId val="558313856"/>
        <c:scaling>
          <c:orientation val="minMax"/>
          <c:min val="0.70000000000000018"/>
        </c:scaling>
        <c:delete val="0"/>
        <c:axPos val="l"/>
        <c:majorGridlines/>
        <c:numFmt formatCode="0%" sourceLinked="1"/>
        <c:majorTickMark val="out"/>
        <c:minorTickMark val="none"/>
        <c:tickLblPos val="nextTo"/>
        <c:txPr>
          <a:bodyPr/>
          <a:lstStyle/>
          <a:p>
            <a:pPr>
              <a:defRPr lang="he-IL" sz="1800"/>
            </a:pPr>
            <a:endParaRPr lang="es-CO"/>
          </a:p>
        </c:txPr>
        <c:crossAx val="558316600"/>
        <c:crosses val="autoZero"/>
        <c:crossBetween val="between"/>
      </c:valAx>
    </c:plotArea>
    <c:legend>
      <c:legendPos val="r"/>
      <c:legendEntry>
        <c:idx val="0"/>
        <c:txPr>
          <a:bodyPr/>
          <a:lstStyle/>
          <a:p>
            <a:pPr>
              <a:defRPr sz="1400"/>
            </a:pPr>
            <a:endParaRPr lang="es-CO"/>
          </a:p>
        </c:txPr>
      </c:legendEntry>
      <c:legendEntry>
        <c:idx val="1"/>
        <c:txPr>
          <a:bodyPr/>
          <a:lstStyle/>
          <a:p>
            <a:pPr>
              <a:defRPr sz="1400"/>
            </a:pPr>
            <a:endParaRPr lang="es-CO"/>
          </a:p>
        </c:txPr>
      </c:legendEntry>
      <c:layout>
        <c:manualLayout>
          <c:xMode val="edge"/>
          <c:yMode val="edge"/>
          <c:x val="0.72548427702621032"/>
          <c:y val="4.4775062602764655E-2"/>
          <c:w val="0.27331342473991582"/>
          <c:h val="0.43330510270282446"/>
        </c:manualLayout>
      </c:layout>
      <c:overlay val="0"/>
      <c:txPr>
        <a:bodyPr/>
        <a:lstStyle/>
        <a:p>
          <a:pPr>
            <a:defRPr lang="he-IL" sz="1600"/>
          </a:pPr>
          <a:endParaRPr lang="es-CO"/>
        </a:p>
      </c:txPr>
    </c:legend>
    <c:plotVisOnly val="1"/>
    <c:dispBlanksAs val="gap"/>
    <c:showDLblsOverMax val="0"/>
  </c:chart>
  <c:printSettings>
    <c:headerFooter/>
    <c:pageMargins b="0.75000000000000844" l="0.70000000000000062" r="0.70000000000000062" t="0.75000000000000844" header="0.30000000000000032" footer="0.30000000000000032"/>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6. AA2'!$A$321:$F$321</c:f>
              <c:strCache>
                <c:ptCount val="6"/>
                <c:pt idx="0">
                  <c:v>Porcentaje (%) de Acciones Correctivas de Servicios No Conformes Establecidas Eficazmente</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6. AA2'!$G$320:$J$320</c:f>
              <c:numCache>
                <c:formatCode>General</c:formatCode>
                <c:ptCount val="4"/>
                <c:pt idx="0">
                  <c:v>2012</c:v>
                </c:pt>
                <c:pt idx="1">
                  <c:v>2013</c:v>
                </c:pt>
                <c:pt idx="2">
                  <c:v>2014</c:v>
                </c:pt>
                <c:pt idx="3">
                  <c:v>2015</c:v>
                </c:pt>
              </c:numCache>
            </c:numRef>
          </c:cat>
          <c:val>
            <c:numRef>
              <c:f>'Hoja 6. AA2'!$G$321:$J$321</c:f>
              <c:numCache>
                <c:formatCode>0%</c:formatCode>
                <c:ptCount val="4"/>
                <c:pt idx="0">
                  <c:v>0.86</c:v>
                </c:pt>
                <c:pt idx="1">
                  <c:v>0.5</c:v>
                </c:pt>
                <c:pt idx="2">
                  <c:v>0.5</c:v>
                </c:pt>
                <c:pt idx="3">
                  <c:v>1</c:v>
                </c:pt>
              </c:numCache>
            </c:numRef>
          </c:val>
          <c:smooth val="0"/>
          <c:extLst>
            <c:ext xmlns:c16="http://schemas.microsoft.com/office/drawing/2014/chart" uri="{C3380CC4-5D6E-409C-BE32-E72D297353CC}">
              <c16:uniqueId val="{00000000-5480-4E9D-A31F-5094500F9507}"/>
            </c:ext>
          </c:extLst>
        </c:ser>
        <c:ser>
          <c:idx val="1"/>
          <c:order val="1"/>
          <c:tx>
            <c:strRef>
              <c:f>'Hoja 6. AA2'!$A$322:$F$322</c:f>
              <c:strCache>
                <c:ptCount val="6"/>
                <c:pt idx="0">
                  <c:v>Meta</c:v>
                </c:pt>
              </c:strCache>
            </c:strRef>
          </c:tx>
          <c:spPr>
            <a:ln w="38100">
              <a:solidFill>
                <a:srgbClr val="FF0000"/>
              </a:solidFill>
            </a:ln>
          </c:spPr>
          <c:marker>
            <c:symbol val="none"/>
          </c:marker>
          <c:cat>
            <c:numRef>
              <c:f>'Hoja 6. AA2'!$G$320:$J$320</c:f>
              <c:numCache>
                <c:formatCode>General</c:formatCode>
                <c:ptCount val="4"/>
                <c:pt idx="0">
                  <c:v>2012</c:v>
                </c:pt>
                <c:pt idx="1">
                  <c:v>2013</c:v>
                </c:pt>
                <c:pt idx="2">
                  <c:v>2014</c:v>
                </c:pt>
                <c:pt idx="3">
                  <c:v>2015</c:v>
                </c:pt>
              </c:numCache>
            </c:numRef>
          </c:cat>
          <c:val>
            <c:numRef>
              <c:f>'Hoja 6. AA2'!$G$322:$J$322</c:f>
              <c:numCache>
                <c:formatCode>0%</c:formatCode>
                <c:ptCount val="4"/>
                <c:pt idx="0">
                  <c:v>0.9</c:v>
                </c:pt>
                <c:pt idx="1">
                  <c:v>0.9</c:v>
                </c:pt>
                <c:pt idx="2">
                  <c:v>0.9</c:v>
                </c:pt>
                <c:pt idx="3">
                  <c:v>0.9</c:v>
                </c:pt>
              </c:numCache>
            </c:numRef>
          </c:val>
          <c:smooth val="0"/>
          <c:extLst>
            <c:ext xmlns:c16="http://schemas.microsoft.com/office/drawing/2014/chart" uri="{C3380CC4-5D6E-409C-BE32-E72D297353CC}">
              <c16:uniqueId val="{00000001-5480-4E9D-A31F-5094500F9507}"/>
            </c:ext>
          </c:extLst>
        </c:ser>
        <c:dLbls>
          <c:showLegendKey val="0"/>
          <c:showVal val="0"/>
          <c:showCatName val="0"/>
          <c:showSerName val="0"/>
          <c:showPercent val="0"/>
          <c:showBubbleSize val="0"/>
        </c:dLbls>
        <c:smooth val="0"/>
        <c:axId val="64840272"/>
        <c:axId val="64841056"/>
      </c:lineChart>
      <c:catAx>
        <c:axId val="64840272"/>
        <c:scaling>
          <c:orientation val="minMax"/>
        </c:scaling>
        <c:delete val="0"/>
        <c:axPos val="b"/>
        <c:numFmt formatCode="General" sourceLinked="1"/>
        <c:majorTickMark val="out"/>
        <c:minorTickMark val="none"/>
        <c:tickLblPos val="nextTo"/>
        <c:txPr>
          <a:bodyPr/>
          <a:lstStyle/>
          <a:p>
            <a:pPr>
              <a:defRPr lang="he-IL" sz="1800"/>
            </a:pPr>
            <a:endParaRPr lang="es-CO"/>
          </a:p>
        </c:txPr>
        <c:crossAx val="64841056"/>
        <c:crosses val="autoZero"/>
        <c:auto val="1"/>
        <c:lblAlgn val="ctr"/>
        <c:lblOffset val="100"/>
        <c:noMultiLvlLbl val="0"/>
      </c:catAx>
      <c:valAx>
        <c:axId val="64841056"/>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64840272"/>
        <c:crosses val="autoZero"/>
        <c:crossBetween val="between"/>
      </c:valAx>
    </c:plotArea>
    <c:legend>
      <c:legendPos val="r"/>
      <c:legendEntry>
        <c:idx val="0"/>
        <c:txPr>
          <a:bodyPr/>
          <a:lstStyle/>
          <a:p>
            <a:pPr>
              <a:defRPr sz="1400"/>
            </a:pPr>
            <a:endParaRPr lang="es-CO"/>
          </a:p>
        </c:txPr>
      </c:legendEntry>
      <c:layout>
        <c:manualLayout>
          <c:xMode val="edge"/>
          <c:yMode val="edge"/>
          <c:x val="0.65833333333333965"/>
          <c:y val="1.5587634878973461E-3"/>
          <c:w val="0.33746929348117038"/>
          <c:h val="0.73305082596816973"/>
        </c:manualLayout>
      </c:layout>
      <c:overlay val="0"/>
      <c:txPr>
        <a:bodyPr/>
        <a:lstStyle/>
        <a:p>
          <a:pPr>
            <a:defRPr lang="he-IL" sz="1400"/>
          </a:pPr>
          <a:endParaRPr lang="es-CO"/>
        </a:p>
      </c:txPr>
    </c:legend>
    <c:plotVisOnly val="1"/>
    <c:dispBlanksAs val="gap"/>
    <c:showDLblsOverMax val="0"/>
  </c:chart>
  <c:printSettings>
    <c:headerFooter/>
    <c:pageMargins b="0.75000000000000866" l="0.70000000000000062" r="0.70000000000000062" t="0.75000000000000866" header="0.30000000000000032" footer="0.30000000000000032"/>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829324433896564E-2"/>
          <c:y val="2.79170253555024E-2"/>
          <c:w val="0.66793251487381011"/>
          <c:h val="0.90463393664554903"/>
        </c:manualLayout>
      </c:layout>
      <c:lineChart>
        <c:grouping val="standard"/>
        <c:varyColors val="0"/>
        <c:ser>
          <c:idx val="0"/>
          <c:order val="0"/>
          <c:tx>
            <c:strRef>
              <c:f>'Hoja 6. AA2'!$A$41:$F$41</c:f>
              <c:strCache>
                <c:ptCount val="6"/>
                <c:pt idx="0">
                  <c:v>Porcentaje (%) de Reducción de Carga Contaminante Parámetros DBO5</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6. AA2'!$G$40:$M$40</c:f>
              <c:numCache>
                <c:formatCode>General</c:formatCode>
                <c:ptCount val="7"/>
                <c:pt idx="0">
                  <c:v>2008</c:v>
                </c:pt>
                <c:pt idx="1">
                  <c:v>2009</c:v>
                </c:pt>
                <c:pt idx="2">
                  <c:v>2010</c:v>
                </c:pt>
                <c:pt idx="3">
                  <c:v>2011</c:v>
                </c:pt>
                <c:pt idx="4">
                  <c:v>2012</c:v>
                </c:pt>
                <c:pt idx="5">
                  <c:v>2013</c:v>
                </c:pt>
                <c:pt idx="6">
                  <c:v>2014</c:v>
                </c:pt>
              </c:numCache>
            </c:numRef>
          </c:cat>
          <c:val>
            <c:numRef>
              <c:f>'Hoja 6. AA2'!$G$41:$M$41</c:f>
              <c:numCache>
                <c:formatCode>0.00%</c:formatCode>
                <c:ptCount val="7"/>
                <c:pt idx="0">
                  <c:v>1.5479164237925669E-2</c:v>
                </c:pt>
                <c:pt idx="1">
                  <c:v>3.3144451840098586E-2</c:v>
                </c:pt>
                <c:pt idx="2">
                  <c:v>5.2482083212317482E-2</c:v>
                </c:pt>
                <c:pt idx="3">
                  <c:v>5.2754606513265571E-2</c:v>
                </c:pt>
                <c:pt idx="4">
                  <c:v>9.0988809888264022E-2</c:v>
                </c:pt>
                <c:pt idx="5">
                  <c:v>-3.1165039427562821E-2</c:v>
                </c:pt>
              </c:numCache>
            </c:numRef>
          </c:val>
          <c:smooth val="0"/>
          <c:extLst>
            <c:ext xmlns:c16="http://schemas.microsoft.com/office/drawing/2014/chart" uri="{C3380CC4-5D6E-409C-BE32-E72D297353CC}">
              <c16:uniqueId val="{00000000-D115-400E-B861-FE9A74CCE0D2}"/>
            </c:ext>
          </c:extLst>
        </c:ser>
        <c:ser>
          <c:idx val="1"/>
          <c:order val="1"/>
          <c:tx>
            <c:strRef>
              <c:f>'Hoja 6. AA2'!$A$42:$F$42</c:f>
              <c:strCache>
                <c:ptCount val="6"/>
                <c:pt idx="0">
                  <c:v>Meta</c:v>
                </c:pt>
              </c:strCache>
            </c:strRef>
          </c:tx>
          <c:spPr>
            <a:ln w="38100">
              <a:solidFill>
                <a:srgbClr val="FF0000"/>
              </a:solidFill>
            </a:ln>
          </c:spPr>
          <c:marker>
            <c:symbol val="none"/>
          </c:marker>
          <c:cat>
            <c:numRef>
              <c:f>'Hoja 6. AA2'!$G$40:$M$40</c:f>
              <c:numCache>
                <c:formatCode>General</c:formatCode>
                <c:ptCount val="7"/>
                <c:pt idx="0">
                  <c:v>2008</c:v>
                </c:pt>
                <c:pt idx="1">
                  <c:v>2009</c:v>
                </c:pt>
                <c:pt idx="2">
                  <c:v>2010</c:v>
                </c:pt>
                <c:pt idx="3">
                  <c:v>2011</c:v>
                </c:pt>
                <c:pt idx="4">
                  <c:v>2012</c:v>
                </c:pt>
                <c:pt idx="5">
                  <c:v>2013</c:v>
                </c:pt>
                <c:pt idx="6">
                  <c:v>2014</c:v>
                </c:pt>
              </c:numCache>
            </c:numRef>
          </c:cat>
          <c:val>
            <c:numRef>
              <c:f>'Hoja 6. AA2'!$G$42:$M$42</c:f>
              <c:numCache>
                <c:formatCode>0%</c:formatCode>
                <c:ptCount val="7"/>
                <c:pt idx="0">
                  <c:v>0.01</c:v>
                </c:pt>
                <c:pt idx="1">
                  <c:v>0.01</c:v>
                </c:pt>
                <c:pt idx="2">
                  <c:v>0.01</c:v>
                </c:pt>
                <c:pt idx="3">
                  <c:v>0.01</c:v>
                </c:pt>
                <c:pt idx="4">
                  <c:v>0.01</c:v>
                </c:pt>
                <c:pt idx="5">
                  <c:v>0.01</c:v>
                </c:pt>
                <c:pt idx="6">
                  <c:v>0.01</c:v>
                </c:pt>
              </c:numCache>
            </c:numRef>
          </c:val>
          <c:smooth val="0"/>
          <c:extLst>
            <c:ext xmlns:c16="http://schemas.microsoft.com/office/drawing/2014/chart" uri="{C3380CC4-5D6E-409C-BE32-E72D297353CC}">
              <c16:uniqueId val="{00000001-D115-400E-B861-FE9A74CCE0D2}"/>
            </c:ext>
          </c:extLst>
        </c:ser>
        <c:dLbls>
          <c:showLegendKey val="0"/>
          <c:showVal val="0"/>
          <c:showCatName val="0"/>
          <c:showSerName val="0"/>
          <c:showPercent val="0"/>
          <c:showBubbleSize val="0"/>
        </c:dLbls>
        <c:smooth val="0"/>
        <c:axId val="64842624"/>
        <c:axId val="64839880"/>
      </c:lineChart>
      <c:catAx>
        <c:axId val="64842624"/>
        <c:scaling>
          <c:orientation val="minMax"/>
        </c:scaling>
        <c:delete val="0"/>
        <c:axPos val="b"/>
        <c:numFmt formatCode="General" sourceLinked="1"/>
        <c:majorTickMark val="out"/>
        <c:minorTickMark val="none"/>
        <c:tickLblPos val="nextTo"/>
        <c:txPr>
          <a:bodyPr/>
          <a:lstStyle/>
          <a:p>
            <a:pPr>
              <a:defRPr lang="he-IL" sz="1800"/>
            </a:pPr>
            <a:endParaRPr lang="es-CO"/>
          </a:p>
        </c:txPr>
        <c:crossAx val="64839880"/>
        <c:crosses val="autoZero"/>
        <c:auto val="1"/>
        <c:lblAlgn val="ctr"/>
        <c:lblOffset val="100"/>
        <c:noMultiLvlLbl val="0"/>
      </c:catAx>
      <c:valAx>
        <c:axId val="64839880"/>
        <c:scaling>
          <c:orientation val="minMax"/>
        </c:scaling>
        <c:delete val="0"/>
        <c:axPos val="l"/>
        <c:majorGridlines/>
        <c:numFmt formatCode="0.00%" sourceLinked="1"/>
        <c:majorTickMark val="out"/>
        <c:minorTickMark val="none"/>
        <c:tickLblPos val="nextTo"/>
        <c:txPr>
          <a:bodyPr/>
          <a:lstStyle/>
          <a:p>
            <a:pPr>
              <a:defRPr lang="he-IL" sz="1800"/>
            </a:pPr>
            <a:endParaRPr lang="es-CO"/>
          </a:p>
        </c:txPr>
        <c:crossAx val="64842624"/>
        <c:crosses val="autoZero"/>
        <c:crossBetween val="between"/>
      </c:valAx>
    </c:plotArea>
    <c:legend>
      <c:legendPos val="r"/>
      <c:legendEntry>
        <c:idx val="0"/>
        <c:txPr>
          <a:bodyPr/>
          <a:lstStyle/>
          <a:p>
            <a:pPr>
              <a:defRPr sz="1400"/>
            </a:pPr>
            <a:endParaRPr lang="es-CO"/>
          </a:p>
        </c:txPr>
      </c:legendEntry>
      <c:layout>
        <c:manualLayout>
          <c:xMode val="edge"/>
          <c:yMode val="edge"/>
          <c:x val="0.75689975266482745"/>
          <c:y val="1.5587634878973461E-3"/>
          <c:w val="0.23890290205241224"/>
          <c:h val="0.57642314447536158"/>
        </c:manualLayout>
      </c:layout>
      <c:overlay val="0"/>
      <c:txPr>
        <a:bodyPr/>
        <a:lstStyle/>
        <a:p>
          <a:pPr>
            <a:defRPr lang="he-IL" sz="1400"/>
          </a:pPr>
          <a:endParaRPr lang="es-CO"/>
        </a:p>
      </c:txPr>
    </c:legend>
    <c:plotVisOnly val="1"/>
    <c:dispBlanksAs val="gap"/>
    <c:showDLblsOverMax val="0"/>
  </c:chart>
  <c:printSettings>
    <c:headerFooter/>
    <c:pageMargins b="0.75000000000000888" l="0.70000000000000062" r="0.70000000000000062" t="0.75000000000000888" header="0.30000000000000032" footer="0.30000000000000032"/>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829324433896564E-2"/>
          <c:y val="2.79170253555024E-2"/>
          <c:w val="0.68682312165173331"/>
          <c:h val="0.90463393664554903"/>
        </c:manualLayout>
      </c:layout>
      <c:lineChart>
        <c:grouping val="standard"/>
        <c:varyColors val="0"/>
        <c:ser>
          <c:idx val="0"/>
          <c:order val="0"/>
          <c:tx>
            <c:strRef>
              <c:f>'Hoja 6. AA2'!$A$70:$F$70</c:f>
              <c:strCache>
                <c:ptCount val="6"/>
                <c:pt idx="0">
                  <c:v>Porcentaje (%) de Reducción de Carga Contaminante Parámetros SST</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6. AA2'!$G$69:$M$69</c:f>
              <c:numCache>
                <c:formatCode>General</c:formatCode>
                <c:ptCount val="7"/>
                <c:pt idx="0">
                  <c:v>2008</c:v>
                </c:pt>
                <c:pt idx="1">
                  <c:v>2009</c:v>
                </c:pt>
                <c:pt idx="2">
                  <c:v>2010</c:v>
                </c:pt>
                <c:pt idx="3">
                  <c:v>2011</c:v>
                </c:pt>
                <c:pt idx="4">
                  <c:v>2012</c:v>
                </c:pt>
                <c:pt idx="5">
                  <c:v>2013</c:v>
                </c:pt>
                <c:pt idx="6">
                  <c:v>2014</c:v>
                </c:pt>
              </c:numCache>
            </c:numRef>
          </c:cat>
          <c:val>
            <c:numRef>
              <c:f>'Hoja 6. AA2'!$G$70:$M$70</c:f>
              <c:numCache>
                <c:formatCode>0.0%</c:formatCode>
                <c:ptCount val="7"/>
                <c:pt idx="0">
                  <c:v>2.1630955489998758E-3</c:v>
                </c:pt>
                <c:pt idx="1">
                  <c:v>3.8433985470150776E-2</c:v>
                </c:pt>
                <c:pt idx="2">
                  <c:v>4.9599795590322841E-2</c:v>
                </c:pt>
                <c:pt idx="3">
                  <c:v>5.2032122143185852E-2</c:v>
                </c:pt>
                <c:pt idx="4">
                  <c:v>0.10204121096966624</c:v>
                </c:pt>
                <c:pt idx="5">
                  <c:v>-1.1378191246652255E-2</c:v>
                </c:pt>
              </c:numCache>
            </c:numRef>
          </c:val>
          <c:smooth val="0"/>
          <c:extLst>
            <c:ext xmlns:c16="http://schemas.microsoft.com/office/drawing/2014/chart" uri="{C3380CC4-5D6E-409C-BE32-E72D297353CC}">
              <c16:uniqueId val="{00000000-E0AF-4DC0-B33D-829CEC0DD8EF}"/>
            </c:ext>
          </c:extLst>
        </c:ser>
        <c:ser>
          <c:idx val="1"/>
          <c:order val="1"/>
          <c:tx>
            <c:strRef>
              <c:f>'Hoja 6. AA2'!$A$71:$F$71</c:f>
              <c:strCache>
                <c:ptCount val="6"/>
                <c:pt idx="0">
                  <c:v>Meta</c:v>
                </c:pt>
              </c:strCache>
            </c:strRef>
          </c:tx>
          <c:spPr>
            <a:ln w="38100">
              <a:solidFill>
                <a:srgbClr val="FF0000"/>
              </a:solidFill>
            </a:ln>
          </c:spPr>
          <c:marker>
            <c:symbol val="none"/>
          </c:marker>
          <c:cat>
            <c:numRef>
              <c:f>'Hoja 6. AA2'!$G$69:$M$69</c:f>
              <c:numCache>
                <c:formatCode>General</c:formatCode>
                <c:ptCount val="7"/>
                <c:pt idx="0">
                  <c:v>2008</c:v>
                </c:pt>
                <c:pt idx="1">
                  <c:v>2009</c:v>
                </c:pt>
                <c:pt idx="2">
                  <c:v>2010</c:v>
                </c:pt>
                <c:pt idx="3">
                  <c:v>2011</c:v>
                </c:pt>
                <c:pt idx="4">
                  <c:v>2012</c:v>
                </c:pt>
                <c:pt idx="5">
                  <c:v>2013</c:v>
                </c:pt>
                <c:pt idx="6">
                  <c:v>2014</c:v>
                </c:pt>
              </c:numCache>
            </c:numRef>
          </c:cat>
          <c:val>
            <c:numRef>
              <c:f>'Hoja 6. AA2'!$G$71:$M$71</c:f>
              <c:numCache>
                <c:formatCode>0%</c:formatCode>
                <c:ptCount val="7"/>
                <c:pt idx="0">
                  <c:v>0.01</c:v>
                </c:pt>
                <c:pt idx="1">
                  <c:v>0.01</c:v>
                </c:pt>
                <c:pt idx="2">
                  <c:v>0.01</c:v>
                </c:pt>
                <c:pt idx="3">
                  <c:v>0.01</c:v>
                </c:pt>
                <c:pt idx="4">
                  <c:v>0.01</c:v>
                </c:pt>
                <c:pt idx="5">
                  <c:v>0.01</c:v>
                </c:pt>
                <c:pt idx="6">
                  <c:v>0.01</c:v>
                </c:pt>
              </c:numCache>
            </c:numRef>
          </c:val>
          <c:smooth val="0"/>
          <c:extLst>
            <c:ext xmlns:c16="http://schemas.microsoft.com/office/drawing/2014/chart" uri="{C3380CC4-5D6E-409C-BE32-E72D297353CC}">
              <c16:uniqueId val="{00000001-E0AF-4DC0-B33D-829CEC0DD8EF}"/>
            </c:ext>
          </c:extLst>
        </c:ser>
        <c:dLbls>
          <c:showLegendKey val="0"/>
          <c:showVal val="0"/>
          <c:showCatName val="0"/>
          <c:showSerName val="0"/>
          <c:showPercent val="0"/>
          <c:showBubbleSize val="0"/>
        </c:dLbls>
        <c:smooth val="0"/>
        <c:axId val="64839488"/>
        <c:axId val="64840664"/>
      </c:lineChart>
      <c:catAx>
        <c:axId val="64839488"/>
        <c:scaling>
          <c:orientation val="minMax"/>
        </c:scaling>
        <c:delete val="0"/>
        <c:axPos val="b"/>
        <c:numFmt formatCode="General" sourceLinked="1"/>
        <c:majorTickMark val="out"/>
        <c:minorTickMark val="none"/>
        <c:tickLblPos val="nextTo"/>
        <c:txPr>
          <a:bodyPr/>
          <a:lstStyle/>
          <a:p>
            <a:pPr>
              <a:defRPr lang="he-IL" sz="1800"/>
            </a:pPr>
            <a:endParaRPr lang="es-CO"/>
          </a:p>
        </c:txPr>
        <c:crossAx val="64840664"/>
        <c:crosses val="autoZero"/>
        <c:auto val="1"/>
        <c:lblAlgn val="ctr"/>
        <c:lblOffset val="100"/>
        <c:noMultiLvlLbl val="0"/>
      </c:catAx>
      <c:valAx>
        <c:axId val="64840664"/>
        <c:scaling>
          <c:orientation val="minMax"/>
        </c:scaling>
        <c:delete val="0"/>
        <c:axPos val="l"/>
        <c:majorGridlines/>
        <c:numFmt formatCode="0.0%" sourceLinked="1"/>
        <c:majorTickMark val="out"/>
        <c:minorTickMark val="none"/>
        <c:tickLblPos val="nextTo"/>
        <c:txPr>
          <a:bodyPr/>
          <a:lstStyle/>
          <a:p>
            <a:pPr>
              <a:defRPr lang="he-IL" sz="1800"/>
            </a:pPr>
            <a:endParaRPr lang="es-CO"/>
          </a:p>
        </c:txPr>
        <c:crossAx val="64839488"/>
        <c:crosses val="autoZero"/>
        <c:crossBetween val="between"/>
      </c:valAx>
    </c:plotArea>
    <c:legend>
      <c:legendPos val="r"/>
      <c:legendEntry>
        <c:idx val="0"/>
        <c:txPr>
          <a:bodyPr/>
          <a:lstStyle/>
          <a:p>
            <a:pPr>
              <a:defRPr sz="1400"/>
            </a:pPr>
            <a:endParaRPr lang="es-CO"/>
          </a:p>
        </c:txPr>
      </c:legendEntry>
      <c:layout>
        <c:manualLayout>
          <c:xMode val="edge"/>
          <c:yMode val="edge"/>
          <c:x val="0.77246287419401627"/>
          <c:y val="1.5587634878973461E-3"/>
          <c:w val="0.2233397805232232"/>
          <c:h val="0.57642314447536158"/>
        </c:manualLayout>
      </c:layout>
      <c:overlay val="0"/>
      <c:txPr>
        <a:bodyPr/>
        <a:lstStyle/>
        <a:p>
          <a:pPr>
            <a:defRPr lang="he-IL" sz="1400"/>
          </a:pPr>
          <a:endParaRPr lang="es-CO"/>
        </a:p>
      </c:txPr>
    </c:legend>
    <c:plotVisOnly val="1"/>
    <c:dispBlanksAs val="gap"/>
    <c:showDLblsOverMax val="0"/>
  </c:chart>
  <c:printSettings>
    <c:headerFooter/>
    <c:pageMargins b="0.75000000000000888" l="0.70000000000000062" r="0.70000000000000062" t="0.75000000000000888" header="0.30000000000000032" footer="0.30000000000000032"/>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056098619381531"/>
          <c:y val="3.9346095301028894E-2"/>
          <c:w val="0.6177986047961419"/>
          <c:h val="0.86245367351466995"/>
        </c:manualLayout>
      </c:layout>
      <c:lineChart>
        <c:grouping val="standard"/>
        <c:varyColors val="0"/>
        <c:ser>
          <c:idx val="0"/>
          <c:order val="0"/>
          <c:tx>
            <c:strRef>
              <c:f>'Hoja 6. AA2'!$A$123:$F$123</c:f>
              <c:strCache>
                <c:ptCount val="6"/>
                <c:pt idx="0">
                  <c:v>Porcentaje (%) de Trámites Resueltos en un Tiempo Igual o Inferior a lo Reglamentado en el SGC</c:v>
                </c:pt>
              </c:strCache>
            </c:strRef>
          </c:tx>
          <c:spPr>
            <a:ln w="38100">
              <a:solidFill>
                <a:schemeClr val="accent6">
                  <a:lumMod val="75000"/>
                </a:schemeClr>
              </a:solidFill>
              <a:prstDash val="dash"/>
            </a:ln>
          </c:spPr>
          <c:marker>
            <c:symbol val="none"/>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6. AA2'!$G$118:$L$118</c:f>
              <c:numCache>
                <c:formatCode>General</c:formatCode>
                <c:ptCount val="6"/>
                <c:pt idx="0">
                  <c:v>2010</c:v>
                </c:pt>
                <c:pt idx="1">
                  <c:v>2011</c:v>
                </c:pt>
                <c:pt idx="2">
                  <c:v>2012</c:v>
                </c:pt>
                <c:pt idx="3">
                  <c:v>2013</c:v>
                </c:pt>
                <c:pt idx="4">
                  <c:v>2014</c:v>
                </c:pt>
                <c:pt idx="5">
                  <c:v>2015</c:v>
                </c:pt>
              </c:numCache>
            </c:numRef>
          </c:cat>
          <c:val>
            <c:numRef>
              <c:f>'Hoja 6. AA2'!$G$123:$L$123</c:f>
              <c:numCache>
                <c:formatCode>0.0%</c:formatCode>
                <c:ptCount val="6"/>
                <c:pt idx="0">
                  <c:v>0.76500000000000001</c:v>
                </c:pt>
                <c:pt idx="1">
                  <c:v>0.79400000000000004</c:v>
                </c:pt>
                <c:pt idx="2" formatCode="0%">
                  <c:v>0.57799999999999996</c:v>
                </c:pt>
                <c:pt idx="3">
                  <c:v>0.61399999999999999</c:v>
                </c:pt>
                <c:pt idx="4">
                  <c:v>0.83</c:v>
                </c:pt>
                <c:pt idx="5">
                  <c:v>0.73913043478260865</c:v>
                </c:pt>
              </c:numCache>
            </c:numRef>
          </c:val>
          <c:smooth val="0"/>
          <c:extLst>
            <c:ext xmlns:c16="http://schemas.microsoft.com/office/drawing/2014/chart" uri="{C3380CC4-5D6E-409C-BE32-E72D297353CC}">
              <c16:uniqueId val="{00000000-3111-46F0-93BC-543F273B0E6D}"/>
            </c:ext>
          </c:extLst>
        </c:ser>
        <c:ser>
          <c:idx val="1"/>
          <c:order val="1"/>
          <c:tx>
            <c:strRef>
              <c:f>'Hoja 6. AA2'!$A$124:$F$124</c:f>
              <c:strCache>
                <c:ptCount val="6"/>
                <c:pt idx="0">
                  <c:v>Meta</c:v>
                </c:pt>
              </c:strCache>
            </c:strRef>
          </c:tx>
          <c:spPr>
            <a:ln w="38100">
              <a:solidFill>
                <a:srgbClr val="FF0000"/>
              </a:solidFill>
            </a:ln>
          </c:spPr>
          <c:marker>
            <c:symbol val="none"/>
          </c:marker>
          <c:cat>
            <c:numRef>
              <c:f>'Hoja 6. AA2'!$G$118:$L$118</c:f>
              <c:numCache>
                <c:formatCode>General</c:formatCode>
                <c:ptCount val="6"/>
                <c:pt idx="0">
                  <c:v>2010</c:v>
                </c:pt>
                <c:pt idx="1">
                  <c:v>2011</c:v>
                </c:pt>
                <c:pt idx="2">
                  <c:v>2012</c:v>
                </c:pt>
                <c:pt idx="3">
                  <c:v>2013</c:v>
                </c:pt>
                <c:pt idx="4">
                  <c:v>2014</c:v>
                </c:pt>
                <c:pt idx="5">
                  <c:v>2015</c:v>
                </c:pt>
              </c:numCache>
            </c:numRef>
          </c:cat>
          <c:val>
            <c:numRef>
              <c:f>'Hoja 6. AA2'!$G$124:$L$124</c:f>
              <c:numCache>
                <c:formatCode>0%</c:formatCode>
                <c:ptCount val="6"/>
                <c:pt idx="0">
                  <c:v>0.8</c:v>
                </c:pt>
                <c:pt idx="1">
                  <c:v>0.8</c:v>
                </c:pt>
                <c:pt idx="2">
                  <c:v>0.8</c:v>
                </c:pt>
                <c:pt idx="3">
                  <c:v>0.8</c:v>
                </c:pt>
                <c:pt idx="4">
                  <c:v>0.8</c:v>
                </c:pt>
                <c:pt idx="5">
                  <c:v>0.8</c:v>
                </c:pt>
              </c:numCache>
            </c:numRef>
          </c:val>
          <c:smooth val="0"/>
          <c:extLst>
            <c:ext xmlns:c16="http://schemas.microsoft.com/office/drawing/2014/chart" uri="{C3380CC4-5D6E-409C-BE32-E72D297353CC}">
              <c16:uniqueId val="{00000001-3111-46F0-93BC-543F273B0E6D}"/>
            </c:ext>
          </c:extLst>
        </c:ser>
        <c:dLbls>
          <c:showLegendKey val="0"/>
          <c:showVal val="0"/>
          <c:showCatName val="0"/>
          <c:showSerName val="0"/>
          <c:showPercent val="0"/>
          <c:showBubbleSize val="0"/>
        </c:dLbls>
        <c:smooth val="0"/>
        <c:axId val="64843800"/>
        <c:axId val="64842232"/>
      </c:lineChart>
      <c:catAx>
        <c:axId val="64843800"/>
        <c:scaling>
          <c:orientation val="minMax"/>
        </c:scaling>
        <c:delete val="0"/>
        <c:axPos val="b"/>
        <c:numFmt formatCode="General" sourceLinked="1"/>
        <c:majorTickMark val="out"/>
        <c:minorTickMark val="none"/>
        <c:tickLblPos val="nextTo"/>
        <c:crossAx val="64842232"/>
        <c:crosses val="autoZero"/>
        <c:auto val="1"/>
        <c:lblAlgn val="ctr"/>
        <c:lblOffset val="100"/>
        <c:noMultiLvlLbl val="0"/>
      </c:catAx>
      <c:valAx>
        <c:axId val="64842232"/>
        <c:scaling>
          <c:orientation val="minMax"/>
          <c:min val="0.2"/>
        </c:scaling>
        <c:delete val="0"/>
        <c:axPos val="l"/>
        <c:majorGridlines/>
        <c:numFmt formatCode="0.0%" sourceLinked="1"/>
        <c:majorTickMark val="out"/>
        <c:minorTickMark val="none"/>
        <c:tickLblPos val="nextTo"/>
        <c:crossAx val="64843800"/>
        <c:crosses val="autoZero"/>
        <c:crossBetween val="between"/>
      </c:valAx>
    </c:plotArea>
    <c:legend>
      <c:legendPos val="r"/>
      <c:layout>
        <c:manualLayout>
          <c:xMode val="edge"/>
          <c:yMode val="edge"/>
          <c:x val="0.76749498351828338"/>
          <c:y val="1.5587634878973461E-3"/>
          <c:w val="0.2283077908240384"/>
          <c:h val="0.62058451065182163"/>
        </c:manualLayout>
      </c:layout>
      <c:overlay val="0"/>
    </c:legend>
    <c:plotVisOnly val="1"/>
    <c:dispBlanksAs val="gap"/>
    <c:showDLblsOverMax val="0"/>
  </c:chart>
  <c:txPr>
    <a:bodyPr/>
    <a:lstStyle/>
    <a:p>
      <a:pPr>
        <a:defRPr sz="900"/>
      </a:pPr>
      <a:endParaRPr lang="es-CO"/>
    </a:p>
  </c:txPr>
  <c:printSettings>
    <c:headerFooter/>
    <c:pageMargins b="0.75000000000000799" l="0.70000000000000062" r="0.70000000000000062" t="0.75000000000000799" header="0.30000000000000032" footer="0.30000000000000032"/>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52195707503358"/>
          <c:y val="1.8305402645651381E-2"/>
          <c:w val="0.58722487656755451"/>
          <c:h val="0.93600785873462899"/>
        </c:manualLayout>
      </c:layout>
      <c:lineChart>
        <c:grouping val="standard"/>
        <c:varyColors val="0"/>
        <c:ser>
          <c:idx val="0"/>
          <c:order val="0"/>
          <c:tx>
            <c:strRef>
              <c:f>'Hoja 6. AA2'!$A$222:$F$222</c:f>
              <c:strCache>
                <c:ptCount val="6"/>
                <c:pt idx="0">
                  <c:v>%  Tramites Concesión de Aguas Subterráneas Cumpliendo la Meta de Revisión Documental</c:v>
                </c:pt>
              </c:strCache>
            </c:strRef>
          </c:tx>
          <c:spPr>
            <a:ln w="28575">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6. AA2'!$G$221:$K$221</c:f>
              <c:numCache>
                <c:formatCode>General</c:formatCode>
                <c:ptCount val="5"/>
                <c:pt idx="0">
                  <c:v>2011</c:v>
                </c:pt>
                <c:pt idx="1">
                  <c:v>2012</c:v>
                </c:pt>
                <c:pt idx="2">
                  <c:v>2013</c:v>
                </c:pt>
                <c:pt idx="3">
                  <c:v>2014</c:v>
                </c:pt>
                <c:pt idx="4">
                  <c:v>2015</c:v>
                </c:pt>
              </c:numCache>
            </c:numRef>
          </c:cat>
          <c:val>
            <c:numRef>
              <c:f>'Hoja 6. AA2'!$G$222:$K$222</c:f>
              <c:numCache>
                <c:formatCode>0%</c:formatCode>
                <c:ptCount val="5"/>
                <c:pt idx="0">
                  <c:v>1</c:v>
                </c:pt>
                <c:pt idx="1">
                  <c:v>1</c:v>
                </c:pt>
                <c:pt idx="2">
                  <c:v>1</c:v>
                </c:pt>
                <c:pt idx="3">
                  <c:v>1</c:v>
                </c:pt>
                <c:pt idx="4">
                  <c:v>0.68936877076411962</c:v>
                </c:pt>
              </c:numCache>
            </c:numRef>
          </c:val>
          <c:smooth val="0"/>
          <c:extLst>
            <c:ext xmlns:c16="http://schemas.microsoft.com/office/drawing/2014/chart" uri="{C3380CC4-5D6E-409C-BE32-E72D297353CC}">
              <c16:uniqueId val="{00000000-086F-466C-81BC-110F8C9C1481}"/>
            </c:ext>
          </c:extLst>
        </c:ser>
        <c:ser>
          <c:idx val="1"/>
          <c:order val="1"/>
          <c:tx>
            <c:strRef>
              <c:f>'Hoja 6. AA2'!$A$223:$F$223</c:f>
              <c:strCache>
                <c:ptCount val="6"/>
                <c:pt idx="0">
                  <c:v>%  Tramites Concesión de Aguas Subterráneas Cumpliendo la Meta de Revisión en Campo</c:v>
                </c:pt>
              </c:strCache>
            </c:strRef>
          </c:tx>
          <c:spPr>
            <a:ln w="28575">
              <a:solidFill>
                <a:schemeClr val="tx2">
                  <a:lumMod val="75000"/>
                </a:schemeClr>
              </a:solidFill>
              <a:prstDash val="dash"/>
            </a:ln>
          </c:spPr>
          <c:marker>
            <c:symbol val="none"/>
          </c:marker>
          <c:cat>
            <c:numRef>
              <c:f>'Hoja 6. AA2'!$G$221:$K$221</c:f>
              <c:numCache>
                <c:formatCode>General</c:formatCode>
                <c:ptCount val="5"/>
                <c:pt idx="0">
                  <c:v>2011</c:v>
                </c:pt>
                <c:pt idx="1">
                  <c:v>2012</c:v>
                </c:pt>
                <c:pt idx="2">
                  <c:v>2013</c:v>
                </c:pt>
                <c:pt idx="3">
                  <c:v>2014</c:v>
                </c:pt>
                <c:pt idx="4">
                  <c:v>2015</c:v>
                </c:pt>
              </c:numCache>
            </c:numRef>
          </c:cat>
          <c:val>
            <c:numRef>
              <c:f>'Hoja 6. AA2'!$G$223:$K$223</c:f>
              <c:numCache>
                <c:formatCode>0%</c:formatCode>
                <c:ptCount val="5"/>
                <c:pt idx="0">
                  <c:v>1</c:v>
                </c:pt>
                <c:pt idx="1">
                  <c:v>1</c:v>
                </c:pt>
                <c:pt idx="2">
                  <c:v>1</c:v>
                </c:pt>
                <c:pt idx="3">
                  <c:v>1</c:v>
                </c:pt>
                <c:pt idx="4">
                  <c:v>0.27906976744186046</c:v>
                </c:pt>
              </c:numCache>
            </c:numRef>
          </c:val>
          <c:smooth val="0"/>
          <c:extLst>
            <c:ext xmlns:c16="http://schemas.microsoft.com/office/drawing/2014/chart" uri="{C3380CC4-5D6E-409C-BE32-E72D297353CC}">
              <c16:uniqueId val="{00000001-086F-466C-81BC-110F8C9C1481}"/>
            </c:ext>
          </c:extLst>
        </c:ser>
        <c:ser>
          <c:idx val="2"/>
          <c:order val="2"/>
          <c:tx>
            <c:strRef>
              <c:f>'Hoja 6. AA2'!$A$225:$F$225</c:f>
              <c:strCache>
                <c:ptCount val="6"/>
                <c:pt idx="0">
                  <c:v>Meta de Revision en campo</c:v>
                </c:pt>
              </c:strCache>
            </c:strRef>
          </c:tx>
          <c:spPr>
            <a:ln w="38100">
              <a:solidFill>
                <a:srgbClr val="FF0000"/>
              </a:solidFill>
            </a:ln>
          </c:spPr>
          <c:marker>
            <c:symbol val="none"/>
          </c:marker>
          <c:cat>
            <c:numRef>
              <c:f>'Hoja 6. AA2'!$G$221:$K$221</c:f>
              <c:numCache>
                <c:formatCode>General</c:formatCode>
                <c:ptCount val="5"/>
                <c:pt idx="0">
                  <c:v>2011</c:v>
                </c:pt>
                <c:pt idx="1">
                  <c:v>2012</c:v>
                </c:pt>
                <c:pt idx="2">
                  <c:v>2013</c:v>
                </c:pt>
                <c:pt idx="3">
                  <c:v>2014</c:v>
                </c:pt>
                <c:pt idx="4">
                  <c:v>2015</c:v>
                </c:pt>
              </c:numCache>
            </c:numRef>
          </c:cat>
          <c:val>
            <c:numRef>
              <c:f>'Hoja 6. AA2'!$G$225:$K$225</c:f>
              <c:numCache>
                <c:formatCode>0%</c:formatCode>
                <c:ptCount val="5"/>
                <c:pt idx="0">
                  <c:v>0.25</c:v>
                </c:pt>
                <c:pt idx="1">
                  <c:v>0.25</c:v>
                </c:pt>
                <c:pt idx="2">
                  <c:v>0.25</c:v>
                </c:pt>
                <c:pt idx="3">
                  <c:v>0.25</c:v>
                </c:pt>
                <c:pt idx="4">
                  <c:v>0.25</c:v>
                </c:pt>
              </c:numCache>
            </c:numRef>
          </c:val>
          <c:smooth val="0"/>
          <c:extLst>
            <c:ext xmlns:c16="http://schemas.microsoft.com/office/drawing/2014/chart" uri="{C3380CC4-5D6E-409C-BE32-E72D297353CC}">
              <c16:uniqueId val="{00000002-086F-466C-81BC-110F8C9C1481}"/>
            </c:ext>
          </c:extLst>
        </c:ser>
        <c:ser>
          <c:idx val="3"/>
          <c:order val="3"/>
          <c:tx>
            <c:strRef>
              <c:f>'Hoja 6. AA2'!$A$224:$F$224</c:f>
              <c:strCache>
                <c:ptCount val="6"/>
                <c:pt idx="0">
                  <c:v>Meta de Revision documental </c:v>
                </c:pt>
              </c:strCache>
            </c:strRef>
          </c:tx>
          <c:marker>
            <c:symbol val="none"/>
          </c:marker>
          <c:val>
            <c:numRef>
              <c:f>'Hoja 6. AA2'!$G$224:$K$224</c:f>
              <c:numCache>
                <c:formatCode>0%</c:formatCode>
                <c:ptCount val="5"/>
                <c:pt idx="0">
                  <c:v>0.8</c:v>
                </c:pt>
                <c:pt idx="1">
                  <c:v>0.8</c:v>
                </c:pt>
                <c:pt idx="2">
                  <c:v>0.8</c:v>
                </c:pt>
                <c:pt idx="3">
                  <c:v>0.8</c:v>
                </c:pt>
                <c:pt idx="4">
                  <c:v>0.8</c:v>
                </c:pt>
              </c:numCache>
            </c:numRef>
          </c:val>
          <c:smooth val="0"/>
          <c:extLst>
            <c:ext xmlns:c16="http://schemas.microsoft.com/office/drawing/2014/chart" uri="{C3380CC4-5D6E-409C-BE32-E72D297353CC}">
              <c16:uniqueId val="{00000003-086F-466C-81BC-110F8C9C1481}"/>
            </c:ext>
          </c:extLst>
        </c:ser>
        <c:dLbls>
          <c:showLegendKey val="0"/>
          <c:showVal val="0"/>
          <c:showCatName val="0"/>
          <c:showSerName val="0"/>
          <c:showPercent val="0"/>
          <c:showBubbleSize val="0"/>
        </c:dLbls>
        <c:smooth val="0"/>
        <c:axId val="64844192"/>
        <c:axId val="64844976"/>
      </c:lineChart>
      <c:catAx>
        <c:axId val="64844192"/>
        <c:scaling>
          <c:orientation val="minMax"/>
        </c:scaling>
        <c:delete val="0"/>
        <c:axPos val="b"/>
        <c:numFmt formatCode="General" sourceLinked="1"/>
        <c:majorTickMark val="out"/>
        <c:minorTickMark val="none"/>
        <c:tickLblPos val="nextTo"/>
        <c:txPr>
          <a:bodyPr/>
          <a:lstStyle/>
          <a:p>
            <a:pPr>
              <a:defRPr lang="he-IL" sz="1800"/>
            </a:pPr>
            <a:endParaRPr lang="es-CO"/>
          </a:p>
        </c:txPr>
        <c:crossAx val="64844976"/>
        <c:crosses val="autoZero"/>
        <c:auto val="1"/>
        <c:lblAlgn val="ctr"/>
        <c:lblOffset val="100"/>
        <c:noMultiLvlLbl val="0"/>
      </c:catAx>
      <c:valAx>
        <c:axId val="64844976"/>
        <c:scaling>
          <c:orientation val="minMax"/>
          <c:min val="0.5"/>
        </c:scaling>
        <c:delete val="0"/>
        <c:axPos val="l"/>
        <c:majorGridlines/>
        <c:numFmt formatCode="0%" sourceLinked="1"/>
        <c:majorTickMark val="out"/>
        <c:minorTickMark val="none"/>
        <c:tickLblPos val="nextTo"/>
        <c:txPr>
          <a:bodyPr/>
          <a:lstStyle/>
          <a:p>
            <a:pPr>
              <a:defRPr lang="he-IL" sz="1800"/>
            </a:pPr>
            <a:endParaRPr lang="es-CO"/>
          </a:p>
        </c:txPr>
        <c:crossAx val="64844192"/>
        <c:crosses val="autoZero"/>
        <c:crossBetween val="between"/>
      </c:valAx>
    </c:plotArea>
    <c:legend>
      <c:legendPos val="r"/>
      <c:legendEntry>
        <c:idx val="0"/>
        <c:txPr>
          <a:bodyPr/>
          <a:lstStyle/>
          <a:p>
            <a:pPr>
              <a:defRPr sz="1400"/>
            </a:pPr>
            <a:endParaRPr lang="es-CO"/>
          </a:p>
        </c:txPr>
      </c:legendEntry>
      <c:layout>
        <c:manualLayout>
          <c:xMode val="edge"/>
          <c:yMode val="edge"/>
          <c:x val="0.7143954447542874"/>
          <c:y val="0.11157771349299377"/>
          <c:w val="0.27225774042278456"/>
          <c:h val="0.5665532721313512"/>
        </c:manualLayout>
      </c:layout>
      <c:overlay val="0"/>
      <c:txPr>
        <a:bodyPr/>
        <a:lstStyle/>
        <a:p>
          <a:pPr>
            <a:defRPr lang="he-IL" sz="1400"/>
          </a:pPr>
          <a:endParaRPr lang="es-CO"/>
        </a:p>
      </c:txPr>
    </c:legend>
    <c:plotVisOnly val="1"/>
    <c:dispBlanksAs val="gap"/>
    <c:showDLblsOverMax val="0"/>
  </c:chart>
  <c:printSettings>
    <c:headerFooter/>
    <c:pageMargins b="0.75000000000000822" l="0.70000000000000062" r="0.70000000000000062" t="0.75000000000000822" header="0.30000000000000032" footer="0.30000000000000032"/>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52195707503358"/>
          <c:y val="1.8305402645651381E-2"/>
          <c:w val="0.58722487656755451"/>
          <c:h val="0.93600785873462899"/>
        </c:manualLayout>
      </c:layout>
      <c:lineChart>
        <c:grouping val="standard"/>
        <c:varyColors val="0"/>
        <c:ser>
          <c:idx val="0"/>
          <c:order val="0"/>
          <c:tx>
            <c:strRef>
              <c:f>'Hoja 6. AA2'!$A$242:$F$242</c:f>
              <c:strCache>
                <c:ptCount val="6"/>
                <c:pt idx="0">
                  <c:v>%  Tramites Concesión de Aguas Superficiales Cumpliendo la Meta de Revisión Documental</c:v>
                </c:pt>
              </c:strCache>
            </c:strRef>
          </c:tx>
          <c:spPr>
            <a:ln w="28575">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6. AA2'!$G$241:$K$241</c:f>
              <c:numCache>
                <c:formatCode>General</c:formatCode>
                <c:ptCount val="5"/>
                <c:pt idx="0">
                  <c:v>2011</c:v>
                </c:pt>
                <c:pt idx="1">
                  <c:v>2012</c:v>
                </c:pt>
                <c:pt idx="2">
                  <c:v>2013</c:v>
                </c:pt>
                <c:pt idx="3">
                  <c:v>2014</c:v>
                </c:pt>
                <c:pt idx="4">
                  <c:v>2015</c:v>
                </c:pt>
              </c:numCache>
            </c:numRef>
          </c:cat>
          <c:val>
            <c:numRef>
              <c:f>'Hoja 6. AA2'!$G$242:$K$242</c:f>
              <c:numCache>
                <c:formatCode>0.0%</c:formatCode>
                <c:ptCount val="5"/>
                <c:pt idx="0">
                  <c:v>1</c:v>
                </c:pt>
                <c:pt idx="1">
                  <c:v>0.99199999999999999</c:v>
                </c:pt>
                <c:pt idx="2">
                  <c:v>0.91500000000000004</c:v>
                </c:pt>
                <c:pt idx="3">
                  <c:v>0.83399999999999996</c:v>
                </c:pt>
                <c:pt idx="4">
                  <c:v>0.5</c:v>
                </c:pt>
              </c:numCache>
            </c:numRef>
          </c:val>
          <c:smooth val="0"/>
          <c:extLst>
            <c:ext xmlns:c16="http://schemas.microsoft.com/office/drawing/2014/chart" uri="{C3380CC4-5D6E-409C-BE32-E72D297353CC}">
              <c16:uniqueId val="{00000000-BD6D-45BF-A606-D75B31DFB7AC}"/>
            </c:ext>
          </c:extLst>
        </c:ser>
        <c:ser>
          <c:idx val="1"/>
          <c:order val="1"/>
          <c:tx>
            <c:strRef>
              <c:f>'Hoja 6. AA2'!$A$243:$F$243</c:f>
              <c:strCache>
                <c:ptCount val="6"/>
                <c:pt idx="0">
                  <c:v>%  Tramites Concesión de Aguas Superficiales Cumpliendo la Meta de Revisión en Campo</c:v>
                </c:pt>
              </c:strCache>
            </c:strRef>
          </c:tx>
          <c:spPr>
            <a:ln w="28575">
              <a:solidFill>
                <a:schemeClr val="tx2">
                  <a:lumMod val="75000"/>
                </a:schemeClr>
              </a:solidFill>
              <a:prstDash val="dash"/>
            </a:ln>
          </c:spPr>
          <c:marker>
            <c:symbol val="none"/>
          </c:marker>
          <c:cat>
            <c:numRef>
              <c:f>'Hoja 6. AA2'!$G$241:$K$241</c:f>
              <c:numCache>
                <c:formatCode>General</c:formatCode>
                <c:ptCount val="5"/>
                <c:pt idx="0">
                  <c:v>2011</c:v>
                </c:pt>
                <c:pt idx="1">
                  <c:v>2012</c:v>
                </c:pt>
                <c:pt idx="2">
                  <c:v>2013</c:v>
                </c:pt>
                <c:pt idx="3">
                  <c:v>2014</c:v>
                </c:pt>
                <c:pt idx="4">
                  <c:v>2015</c:v>
                </c:pt>
              </c:numCache>
            </c:numRef>
          </c:cat>
          <c:val>
            <c:numRef>
              <c:f>'Hoja 6. AA2'!$G$243:$K$243</c:f>
              <c:numCache>
                <c:formatCode>0.0%</c:formatCode>
                <c:ptCount val="5"/>
                <c:pt idx="0">
                  <c:v>1</c:v>
                </c:pt>
                <c:pt idx="1">
                  <c:v>0.98699999999999999</c:v>
                </c:pt>
                <c:pt idx="2">
                  <c:v>1</c:v>
                </c:pt>
                <c:pt idx="3">
                  <c:v>0.82199999999999995</c:v>
                </c:pt>
                <c:pt idx="4">
                  <c:v>0.83902439024390241</c:v>
                </c:pt>
              </c:numCache>
            </c:numRef>
          </c:val>
          <c:smooth val="0"/>
          <c:extLst>
            <c:ext xmlns:c16="http://schemas.microsoft.com/office/drawing/2014/chart" uri="{C3380CC4-5D6E-409C-BE32-E72D297353CC}">
              <c16:uniqueId val="{00000001-BD6D-45BF-A606-D75B31DFB7AC}"/>
            </c:ext>
          </c:extLst>
        </c:ser>
        <c:ser>
          <c:idx val="2"/>
          <c:order val="2"/>
          <c:tx>
            <c:strRef>
              <c:f>'Hoja 6. AA2'!$A$245:$F$245</c:f>
              <c:strCache>
                <c:ptCount val="6"/>
                <c:pt idx="0">
                  <c:v>Meta Revisiónen campo</c:v>
                </c:pt>
              </c:strCache>
            </c:strRef>
          </c:tx>
          <c:spPr>
            <a:ln w="38100">
              <a:solidFill>
                <a:srgbClr val="FF0000"/>
              </a:solidFill>
            </a:ln>
          </c:spPr>
          <c:marker>
            <c:symbol val="none"/>
          </c:marker>
          <c:cat>
            <c:numRef>
              <c:f>'Hoja 6. AA2'!$G$241:$K$241</c:f>
              <c:numCache>
                <c:formatCode>General</c:formatCode>
                <c:ptCount val="5"/>
                <c:pt idx="0">
                  <c:v>2011</c:v>
                </c:pt>
                <c:pt idx="1">
                  <c:v>2012</c:v>
                </c:pt>
                <c:pt idx="2">
                  <c:v>2013</c:v>
                </c:pt>
                <c:pt idx="3">
                  <c:v>2014</c:v>
                </c:pt>
                <c:pt idx="4">
                  <c:v>2015</c:v>
                </c:pt>
              </c:numCache>
            </c:numRef>
          </c:cat>
          <c:val>
            <c:numRef>
              <c:f>'Hoja 6. AA2'!$G$245:$K$245</c:f>
              <c:numCache>
                <c:formatCode>0%</c:formatCode>
                <c:ptCount val="5"/>
                <c:pt idx="0">
                  <c:v>0.25</c:v>
                </c:pt>
                <c:pt idx="1">
                  <c:v>0.25</c:v>
                </c:pt>
                <c:pt idx="2">
                  <c:v>0.25</c:v>
                </c:pt>
                <c:pt idx="3">
                  <c:v>0.25</c:v>
                </c:pt>
                <c:pt idx="4">
                  <c:v>0.25</c:v>
                </c:pt>
              </c:numCache>
            </c:numRef>
          </c:val>
          <c:smooth val="0"/>
          <c:extLst>
            <c:ext xmlns:c16="http://schemas.microsoft.com/office/drawing/2014/chart" uri="{C3380CC4-5D6E-409C-BE32-E72D297353CC}">
              <c16:uniqueId val="{00000002-BD6D-45BF-A606-D75B31DFB7AC}"/>
            </c:ext>
          </c:extLst>
        </c:ser>
        <c:ser>
          <c:idx val="3"/>
          <c:order val="3"/>
          <c:tx>
            <c:strRef>
              <c:f>'Hoja 6. AA2'!$A$244:$F$244</c:f>
              <c:strCache>
                <c:ptCount val="6"/>
                <c:pt idx="0">
                  <c:v>Meta Revisión documental</c:v>
                </c:pt>
              </c:strCache>
            </c:strRef>
          </c:tx>
          <c:marker>
            <c:symbol val="none"/>
          </c:marker>
          <c:val>
            <c:numRef>
              <c:f>'Hoja 6. AA2'!$G$244:$K$244</c:f>
              <c:numCache>
                <c:formatCode>0%</c:formatCode>
                <c:ptCount val="5"/>
                <c:pt idx="0">
                  <c:v>0.8</c:v>
                </c:pt>
                <c:pt idx="1">
                  <c:v>0.8</c:v>
                </c:pt>
                <c:pt idx="2">
                  <c:v>0.8</c:v>
                </c:pt>
                <c:pt idx="3">
                  <c:v>0.8</c:v>
                </c:pt>
                <c:pt idx="4">
                  <c:v>0.8</c:v>
                </c:pt>
              </c:numCache>
            </c:numRef>
          </c:val>
          <c:smooth val="0"/>
          <c:extLst>
            <c:ext xmlns:c16="http://schemas.microsoft.com/office/drawing/2014/chart" uri="{C3380CC4-5D6E-409C-BE32-E72D297353CC}">
              <c16:uniqueId val="{00000003-BD6D-45BF-A606-D75B31DFB7AC}"/>
            </c:ext>
          </c:extLst>
        </c:ser>
        <c:dLbls>
          <c:showLegendKey val="0"/>
          <c:showVal val="0"/>
          <c:showCatName val="0"/>
          <c:showSerName val="0"/>
          <c:showPercent val="0"/>
          <c:showBubbleSize val="0"/>
        </c:dLbls>
        <c:smooth val="0"/>
        <c:axId val="64843408"/>
        <c:axId val="64845368"/>
      </c:lineChart>
      <c:catAx>
        <c:axId val="64843408"/>
        <c:scaling>
          <c:orientation val="minMax"/>
        </c:scaling>
        <c:delete val="0"/>
        <c:axPos val="b"/>
        <c:numFmt formatCode="General" sourceLinked="1"/>
        <c:majorTickMark val="out"/>
        <c:minorTickMark val="none"/>
        <c:tickLblPos val="nextTo"/>
        <c:txPr>
          <a:bodyPr/>
          <a:lstStyle/>
          <a:p>
            <a:pPr>
              <a:defRPr lang="he-IL" sz="1800"/>
            </a:pPr>
            <a:endParaRPr lang="es-CO"/>
          </a:p>
        </c:txPr>
        <c:crossAx val="64845368"/>
        <c:crosses val="autoZero"/>
        <c:auto val="1"/>
        <c:lblAlgn val="ctr"/>
        <c:lblOffset val="100"/>
        <c:noMultiLvlLbl val="0"/>
      </c:catAx>
      <c:valAx>
        <c:axId val="64845368"/>
        <c:scaling>
          <c:orientation val="minMax"/>
          <c:min val="0.5"/>
        </c:scaling>
        <c:delete val="0"/>
        <c:axPos val="l"/>
        <c:majorGridlines/>
        <c:numFmt formatCode="0.0%" sourceLinked="1"/>
        <c:majorTickMark val="out"/>
        <c:minorTickMark val="none"/>
        <c:tickLblPos val="nextTo"/>
        <c:txPr>
          <a:bodyPr/>
          <a:lstStyle/>
          <a:p>
            <a:pPr>
              <a:defRPr lang="he-IL" sz="1800"/>
            </a:pPr>
            <a:endParaRPr lang="es-CO"/>
          </a:p>
        </c:txPr>
        <c:crossAx val="64843408"/>
        <c:crosses val="autoZero"/>
        <c:crossBetween val="between"/>
      </c:valAx>
    </c:plotArea>
    <c:legend>
      <c:legendPos val="r"/>
      <c:legendEntry>
        <c:idx val="0"/>
        <c:txPr>
          <a:bodyPr/>
          <a:lstStyle/>
          <a:p>
            <a:pPr>
              <a:defRPr sz="1400"/>
            </a:pPr>
            <a:endParaRPr lang="es-CO"/>
          </a:p>
        </c:txPr>
      </c:legendEntry>
      <c:layout>
        <c:manualLayout>
          <c:xMode val="edge"/>
          <c:yMode val="edge"/>
          <c:x val="0.68918619577360185"/>
          <c:y val="0.10301469552755618"/>
          <c:w val="0.30488188652731885"/>
          <c:h val="0.54861961683701799"/>
        </c:manualLayout>
      </c:layout>
      <c:overlay val="0"/>
      <c:txPr>
        <a:bodyPr/>
        <a:lstStyle/>
        <a:p>
          <a:pPr>
            <a:defRPr lang="he-IL" sz="1400"/>
          </a:pPr>
          <a:endParaRPr lang="es-CO"/>
        </a:p>
      </c:txPr>
    </c:legend>
    <c:plotVisOnly val="1"/>
    <c:dispBlanksAs val="gap"/>
    <c:showDLblsOverMax val="0"/>
  </c:chart>
  <c:printSettings>
    <c:headerFooter/>
    <c:pageMargins b="0.75000000000000822" l="0.70000000000000062" r="0.70000000000000062" t="0.75000000000000822" header="0.30000000000000032" footer="0.30000000000000032"/>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52195707503358"/>
          <c:y val="1.8305402645651381E-2"/>
          <c:w val="0.58722487656755451"/>
          <c:h val="0.93600785873462899"/>
        </c:manualLayout>
      </c:layout>
      <c:lineChart>
        <c:grouping val="standard"/>
        <c:varyColors val="0"/>
        <c:ser>
          <c:idx val="0"/>
          <c:order val="0"/>
          <c:tx>
            <c:strRef>
              <c:f>'Hoja 6. AA2'!$A$262:$F$262</c:f>
              <c:strCache>
                <c:ptCount val="6"/>
                <c:pt idx="0">
                  <c:v>%  Tramites Permisos de Vertimientos Cumpliendo la Meta de Revisión Documental</c:v>
                </c:pt>
              </c:strCache>
            </c:strRef>
          </c:tx>
          <c:spPr>
            <a:ln w="28575">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6. AA2'!$G$261:$K$261</c:f>
              <c:numCache>
                <c:formatCode>General</c:formatCode>
                <c:ptCount val="5"/>
                <c:pt idx="0">
                  <c:v>2011</c:v>
                </c:pt>
                <c:pt idx="1">
                  <c:v>2012</c:v>
                </c:pt>
                <c:pt idx="2">
                  <c:v>2013</c:v>
                </c:pt>
                <c:pt idx="3">
                  <c:v>2014</c:v>
                </c:pt>
                <c:pt idx="4">
                  <c:v>2015</c:v>
                </c:pt>
              </c:numCache>
            </c:numRef>
          </c:cat>
          <c:val>
            <c:numRef>
              <c:f>'Hoja 6. AA2'!$G$262:$K$262</c:f>
              <c:numCache>
                <c:formatCode>0.0%</c:formatCode>
                <c:ptCount val="5"/>
                <c:pt idx="0" formatCode="0%">
                  <c:v>1</c:v>
                </c:pt>
                <c:pt idx="1">
                  <c:v>0.99099999999999999</c:v>
                </c:pt>
                <c:pt idx="2">
                  <c:v>0.82</c:v>
                </c:pt>
                <c:pt idx="3">
                  <c:v>0.69299999999999995</c:v>
                </c:pt>
                <c:pt idx="4">
                  <c:v>0.49768518518518517</c:v>
                </c:pt>
              </c:numCache>
            </c:numRef>
          </c:val>
          <c:smooth val="0"/>
          <c:extLst>
            <c:ext xmlns:c16="http://schemas.microsoft.com/office/drawing/2014/chart" uri="{C3380CC4-5D6E-409C-BE32-E72D297353CC}">
              <c16:uniqueId val="{00000000-7022-478F-9AA5-D57A77FFB4AF}"/>
            </c:ext>
          </c:extLst>
        </c:ser>
        <c:ser>
          <c:idx val="1"/>
          <c:order val="1"/>
          <c:tx>
            <c:strRef>
              <c:f>'Hoja 6. AA2'!$A$263:$F$263</c:f>
              <c:strCache>
                <c:ptCount val="6"/>
                <c:pt idx="0">
                  <c:v>%  Tramites Permisos de Vertimientos Cumpliendo la Meta de Revisión en Campo</c:v>
                </c:pt>
              </c:strCache>
            </c:strRef>
          </c:tx>
          <c:spPr>
            <a:ln w="28575">
              <a:solidFill>
                <a:schemeClr val="tx2">
                  <a:lumMod val="75000"/>
                </a:schemeClr>
              </a:solidFill>
              <a:prstDash val="dash"/>
            </a:ln>
          </c:spPr>
          <c:marker>
            <c:symbol val="none"/>
          </c:marker>
          <c:cat>
            <c:numRef>
              <c:f>'Hoja 6. AA2'!$G$261:$K$261</c:f>
              <c:numCache>
                <c:formatCode>General</c:formatCode>
                <c:ptCount val="5"/>
                <c:pt idx="0">
                  <c:v>2011</c:v>
                </c:pt>
                <c:pt idx="1">
                  <c:v>2012</c:v>
                </c:pt>
                <c:pt idx="2">
                  <c:v>2013</c:v>
                </c:pt>
                <c:pt idx="3">
                  <c:v>2014</c:v>
                </c:pt>
                <c:pt idx="4">
                  <c:v>2015</c:v>
                </c:pt>
              </c:numCache>
            </c:numRef>
          </c:cat>
          <c:val>
            <c:numRef>
              <c:f>'Hoja 6. AA2'!$G$263:$K$263</c:f>
              <c:numCache>
                <c:formatCode>0%</c:formatCode>
                <c:ptCount val="5"/>
                <c:pt idx="0">
                  <c:v>1</c:v>
                </c:pt>
                <c:pt idx="1">
                  <c:v>1</c:v>
                </c:pt>
                <c:pt idx="2">
                  <c:v>1</c:v>
                </c:pt>
                <c:pt idx="3">
                  <c:v>1</c:v>
                </c:pt>
                <c:pt idx="4" formatCode="0.0%">
                  <c:v>0.7407407407407407</c:v>
                </c:pt>
              </c:numCache>
            </c:numRef>
          </c:val>
          <c:smooth val="0"/>
          <c:extLst>
            <c:ext xmlns:c16="http://schemas.microsoft.com/office/drawing/2014/chart" uri="{C3380CC4-5D6E-409C-BE32-E72D297353CC}">
              <c16:uniqueId val="{00000001-7022-478F-9AA5-D57A77FFB4AF}"/>
            </c:ext>
          </c:extLst>
        </c:ser>
        <c:ser>
          <c:idx val="2"/>
          <c:order val="2"/>
          <c:tx>
            <c:strRef>
              <c:f>'Hoja 6. AA2'!$A$265:$F$265</c:f>
              <c:strCache>
                <c:ptCount val="6"/>
                <c:pt idx="0">
                  <c:v>Meta Revisión en campo</c:v>
                </c:pt>
              </c:strCache>
            </c:strRef>
          </c:tx>
          <c:spPr>
            <a:ln w="38100">
              <a:solidFill>
                <a:srgbClr val="FF0000"/>
              </a:solidFill>
            </a:ln>
          </c:spPr>
          <c:marker>
            <c:symbol val="none"/>
          </c:marker>
          <c:cat>
            <c:numRef>
              <c:f>'Hoja 6. AA2'!$G$261:$K$261</c:f>
              <c:numCache>
                <c:formatCode>General</c:formatCode>
                <c:ptCount val="5"/>
                <c:pt idx="0">
                  <c:v>2011</c:v>
                </c:pt>
                <c:pt idx="1">
                  <c:v>2012</c:v>
                </c:pt>
                <c:pt idx="2">
                  <c:v>2013</c:v>
                </c:pt>
                <c:pt idx="3">
                  <c:v>2014</c:v>
                </c:pt>
                <c:pt idx="4">
                  <c:v>2015</c:v>
                </c:pt>
              </c:numCache>
            </c:numRef>
          </c:cat>
          <c:val>
            <c:numRef>
              <c:f>'Hoja 6. AA2'!$G$265:$K$265</c:f>
              <c:numCache>
                <c:formatCode>0%</c:formatCode>
                <c:ptCount val="5"/>
                <c:pt idx="0">
                  <c:v>0.25</c:v>
                </c:pt>
                <c:pt idx="1">
                  <c:v>0.25</c:v>
                </c:pt>
                <c:pt idx="2">
                  <c:v>0.25</c:v>
                </c:pt>
                <c:pt idx="3">
                  <c:v>0.25</c:v>
                </c:pt>
                <c:pt idx="4">
                  <c:v>0.25</c:v>
                </c:pt>
              </c:numCache>
            </c:numRef>
          </c:val>
          <c:smooth val="0"/>
          <c:extLst>
            <c:ext xmlns:c16="http://schemas.microsoft.com/office/drawing/2014/chart" uri="{C3380CC4-5D6E-409C-BE32-E72D297353CC}">
              <c16:uniqueId val="{00000002-7022-478F-9AA5-D57A77FFB4AF}"/>
            </c:ext>
          </c:extLst>
        </c:ser>
        <c:ser>
          <c:idx val="3"/>
          <c:order val="3"/>
          <c:tx>
            <c:strRef>
              <c:f>'Hoja 6. AA2'!$A$264:$F$264</c:f>
              <c:strCache>
                <c:ptCount val="6"/>
                <c:pt idx="0">
                  <c:v>Meta Revisión documental</c:v>
                </c:pt>
              </c:strCache>
            </c:strRef>
          </c:tx>
          <c:marker>
            <c:symbol val="none"/>
          </c:marker>
          <c:val>
            <c:numRef>
              <c:f>'Hoja 6. AA2'!$G$264:$K$264</c:f>
              <c:numCache>
                <c:formatCode>0%</c:formatCode>
                <c:ptCount val="5"/>
                <c:pt idx="0">
                  <c:v>0.8</c:v>
                </c:pt>
                <c:pt idx="1">
                  <c:v>0.8</c:v>
                </c:pt>
                <c:pt idx="2">
                  <c:v>0.8</c:v>
                </c:pt>
                <c:pt idx="3">
                  <c:v>0.8</c:v>
                </c:pt>
                <c:pt idx="4">
                  <c:v>0.8</c:v>
                </c:pt>
              </c:numCache>
            </c:numRef>
          </c:val>
          <c:smooth val="0"/>
          <c:extLst>
            <c:ext xmlns:c16="http://schemas.microsoft.com/office/drawing/2014/chart" uri="{C3380CC4-5D6E-409C-BE32-E72D297353CC}">
              <c16:uniqueId val="{00000003-7022-478F-9AA5-D57A77FFB4AF}"/>
            </c:ext>
          </c:extLst>
        </c:ser>
        <c:dLbls>
          <c:showLegendKey val="0"/>
          <c:showVal val="0"/>
          <c:showCatName val="0"/>
          <c:showSerName val="0"/>
          <c:showPercent val="0"/>
          <c:showBubbleSize val="0"/>
        </c:dLbls>
        <c:smooth val="0"/>
        <c:axId val="64845760"/>
        <c:axId val="64846152"/>
      </c:lineChart>
      <c:catAx>
        <c:axId val="64845760"/>
        <c:scaling>
          <c:orientation val="minMax"/>
        </c:scaling>
        <c:delete val="0"/>
        <c:axPos val="b"/>
        <c:numFmt formatCode="General" sourceLinked="1"/>
        <c:majorTickMark val="out"/>
        <c:minorTickMark val="none"/>
        <c:tickLblPos val="nextTo"/>
        <c:txPr>
          <a:bodyPr/>
          <a:lstStyle/>
          <a:p>
            <a:pPr>
              <a:defRPr lang="he-IL" sz="1800"/>
            </a:pPr>
            <a:endParaRPr lang="es-CO"/>
          </a:p>
        </c:txPr>
        <c:crossAx val="64846152"/>
        <c:crosses val="autoZero"/>
        <c:auto val="1"/>
        <c:lblAlgn val="ctr"/>
        <c:lblOffset val="100"/>
        <c:noMultiLvlLbl val="0"/>
      </c:catAx>
      <c:valAx>
        <c:axId val="64846152"/>
        <c:scaling>
          <c:orientation val="minMax"/>
          <c:min val="0.5"/>
        </c:scaling>
        <c:delete val="0"/>
        <c:axPos val="l"/>
        <c:majorGridlines/>
        <c:numFmt formatCode="0%" sourceLinked="1"/>
        <c:majorTickMark val="out"/>
        <c:minorTickMark val="none"/>
        <c:tickLblPos val="nextTo"/>
        <c:txPr>
          <a:bodyPr/>
          <a:lstStyle/>
          <a:p>
            <a:pPr>
              <a:defRPr lang="he-IL" sz="1800"/>
            </a:pPr>
            <a:endParaRPr lang="es-CO"/>
          </a:p>
        </c:txPr>
        <c:crossAx val="64845760"/>
        <c:crosses val="autoZero"/>
        <c:crossBetween val="between"/>
      </c:valAx>
    </c:plotArea>
    <c:legend>
      <c:legendPos val="r"/>
      <c:legendEntry>
        <c:idx val="0"/>
        <c:txPr>
          <a:bodyPr/>
          <a:lstStyle/>
          <a:p>
            <a:pPr>
              <a:defRPr sz="1400"/>
            </a:pPr>
            <a:endParaRPr lang="es-CO"/>
          </a:p>
        </c:txPr>
      </c:legendEntry>
      <c:layout>
        <c:manualLayout>
          <c:xMode val="edge"/>
          <c:yMode val="edge"/>
          <c:x val="0.69799883163989429"/>
          <c:y val="8.0503020306460685E-2"/>
          <c:w val="0.30200116836010621"/>
          <c:h val="0.52332395111841823"/>
        </c:manualLayout>
      </c:layout>
      <c:overlay val="0"/>
      <c:txPr>
        <a:bodyPr/>
        <a:lstStyle/>
        <a:p>
          <a:pPr>
            <a:defRPr lang="he-IL" sz="1400"/>
          </a:pPr>
          <a:endParaRPr lang="es-CO"/>
        </a:p>
      </c:txPr>
    </c:legend>
    <c:plotVisOnly val="1"/>
    <c:dispBlanksAs val="gap"/>
    <c:showDLblsOverMax val="0"/>
  </c:chart>
  <c:spPr>
    <a:ln w="9525"/>
  </c:spPr>
  <c:printSettings>
    <c:headerFooter/>
    <c:pageMargins b="0.75000000000000822" l="0.70000000000000062" r="0.70000000000000062" t="0.75000000000000822" header="0.30000000000000032" footer="0.30000000000000032"/>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6. AA2'!$A$288:$F$288</c:f>
              <c:strCache>
                <c:ptCount val="6"/>
                <c:pt idx="0">
                  <c:v>Todas las Regionales</c:v>
                </c:pt>
              </c:strCache>
            </c:strRef>
          </c:tx>
          <c:spPr>
            <a:ln w="38100">
              <a:solidFill>
                <a:schemeClr val="accent6">
                  <a:lumMod val="75000"/>
                </a:schemeClr>
              </a:solidFill>
              <a:prstDash val="dash"/>
            </a:ln>
          </c:spPr>
          <c:marker>
            <c:symbol val="none"/>
          </c:marker>
          <c:dLbls>
            <c:spPr>
              <a:noFill/>
              <a:ln>
                <a:noFill/>
              </a:ln>
              <a:effectLst/>
            </c:spPr>
            <c:txPr>
              <a:bodyPr wrap="square" lIns="38100" tIns="19050" rIns="38100" bIns="19050" anchor="ctr">
                <a:spAutoFit/>
              </a:bodyPr>
              <a:lstStyle/>
              <a:p>
                <a:pPr>
                  <a:defRPr sz="16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'Hoja 6. AA2'!$G$282:$K$282</c:f>
              <c:numCache>
                <c:formatCode>General</c:formatCode>
                <c:ptCount val="5"/>
                <c:pt idx="0">
                  <c:v>2012</c:v>
                </c:pt>
                <c:pt idx="1">
                  <c:v>2013</c:v>
                </c:pt>
                <c:pt idx="2">
                  <c:v>2014</c:v>
                </c:pt>
                <c:pt idx="3">
                  <c:v>2015</c:v>
                </c:pt>
                <c:pt idx="4">
                  <c:v>2016</c:v>
                </c:pt>
              </c:numCache>
            </c:numRef>
          </c:cat>
          <c:val>
            <c:numRef>
              <c:f>'Hoja 6. AA2'!$G$288:$K$288</c:f>
              <c:numCache>
                <c:formatCode>0%</c:formatCode>
                <c:ptCount val="5"/>
                <c:pt idx="0">
                  <c:v>0.97</c:v>
                </c:pt>
                <c:pt idx="1">
                  <c:v>0.98</c:v>
                </c:pt>
                <c:pt idx="2">
                  <c:v>0.97</c:v>
                </c:pt>
                <c:pt idx="3">
                  <c:v>0.88888888888888884</c:v>
                </c:pt>
                <c:pt idx="4">
                  <c:v>0.9285714285714286</c:v>
                </c:pt>
              </c:numCache>
            </c:numRef>
          </c:val>
          <c:smooth val="0"/>
          <c:extLst>
            <c:ext xmlns:c16="http://schemas.microsoft.com/office/drawing/2014/chart" uri="{C3380CC4-5D6E-409C-BE32-E72D297353CC}">
              <c16:uniqueId val="{00000000-D7DB-42A8-B1BA-EBAB0AC12E8D}"/>
            </c:ext>
          </c:extLst>
        </c:ser>
        <c:ser>
          <c:idx val="1"/>
          <c:order val="1"/>
          <c:tx>
            <c:strRef>
              <c:f>'Hoja 6. AA2'!$A$289:$F$289</c:f>
              <c:strCache>
                <c:ptCount val="6"/>
                <c:pt idx="0">
                  <c:v>Meta</c:v>
                </c:pt>
              </c:strCache>
            </c:strRef>
          </c:tx>
          <c:spPr>
            <a:ln w="38100">
              <a:solidFill>
                <a:srgbClr val="FF0000"/>
              </a:solidFill>
            </a:ln>
          </c:spPr>
          <c:marker>
            <c:symbol val="none"/>
          </c:marker>
          <c:cat>
            <c:numRef>
              <c:f>'Hoja 6. AA2'!$G$282:$K$282</c:f>
              <c:numCache>
                <c:formatCode>General</c:formatCode>
                <c:ptCount val="5"/>
                <c:pt idx="0">
                  <c:v>2012</c:v>
                </c:pt>
                <c:pt idx="1">
                  <c:v>2013</c:v>
                </c:pt>
                <c:pt idx="2">
                  <c:v>2014</c:v>
                </c:pt>
                <c:pt idx="3">
                  <c:v>2015</c:v>
                </c:pt>
                <c:pt idx="4">
                  <c:v>2016</c:v>
                </c:pt>
              </c:numCache>
            </c:numRef>
          </c:cat>
          <c:val>
            <c:numRef>
              <c:f>'Hoja 6. AA2'!$G$289:$K$289</c:f>
              <c:numCache>
                <c:formatCode>0%</c:formatCode>
                <c:ptCount val="5"/>
                <c:pt idx="0">
                  <c:v>0.9</c:v>
                </c:pt>
                <c:pt idx="1">
                  <c:v>0.9</c:v>
                </c:pt>
                <c:pt idx="2">
                  <c:v>0.9</c:v>
                </c:pt>
                <c:pt idx="3">
                  <c:v>0.9</c:v>
                </c:pt>
                <c:pt idx="4">
                  <c:v>0.9</c:v>
                </c:pt>
              </c:numCache>
            </c:numRef>
          </c:val>
          <c:smooth val="0"/>
          <c:extLst>
            <c:ext xmlns:c16="http://schemas.microsoft.com/office/drawing/2014/chart" uri="{C3380CC4-5D6E-409C-BE32-E72D297353CC}">
              <c16:uniqueId val="{00000001-D7DB-42A8-B1BA-EBAB0AC12E8D}"/>
            </c:ext>
          </c:extLst>
        </c:ser>
        <c:dLbls>
          <c:showLegendKey val="0"/>
          <c:showVal val="0"/>
          <c:showCatName val="0"/>
          <c:showSerName val="0"/>
          <c:showPercent val="0"/>
          <c:showBubbleSize val="0"/>
        </c:dLbls>
        <c:smooth val="0"/>
        <c:axId val="191247840"/>
        <c:axId val="191255680"/>
      </c:lineChart>
      <c:catAx>
        <c:axId val="191247840"/>
        <c:scaling>
          <c:orientation val="minMax"/>
        </c:scaling>
        <c:delete val="0"/>
        <c:axPos val="b"/>
        <c:numFmt formatCode="General" sourceLinked="1"/>
        <c:majorTickMark val="out"/>
        <c:minorTickMark val="none"/>
        <c:tickLblPos val="nextTo"/>
        <c:txPr>
          <a:bodyPr/>
          <a:lstStyle/>
          <a:p>
            <a:pPr>
              <a:defRPr lang="he-IL" sz="1800"/>
            </a:pPr>
            <a:endParaRPr lang="es-CO"/>
          </a:p>
        </c:txPr>
        <c:crossAx val="191255680"/>
        <c:crosses val="autoZero"/>
        <c:auto val="1"/>
        <c:lblAlgn val="ctr"/>
        <c:lblOffset val="100"/>
        <c:noMultiLvlLbl val="0"/>
      </c:catAx>
      <c:valAx>
        <c:axId val="191255680"/>
        <c:scaling>
          <c:orientation val="minMax"/>
          <c:min val="0.70000000000000018"/>
        </c:scaling>
        <c:delete val="0"/>
        <c:axPos val="l"/>
        <c:majorGridlines/>
        <c:numFmt formatCode="0%" sourceLinked="1"/>
        <c:majorTickMark val="out"/>
        <c:minorTickMark val="none"/>
        <c:tickLblPos val="nextTo"/>
        <c:txPr>
          <a:bodyPr/>
          <a:lstStyle/>
          <a:p>
            <a:pPr>
              <a:defRPr lang="he-IL" sz="1800"/>
            </a:pPr>
            <a:endParaRPr lang="es-CO"/>
          </a:p>
        </c:txPr>
        <c:crossAx val="191247840"/>
        <c:crosses val="autoZero"/>
        <c:crossBetween val="between"/>
      </c:valAx>
    </c:plotArea>
    <c:legend>
      <c:legendPos val="r"/>
      <c:legendEntry>
        <c:idx val="0"/>
        <c:txPr>
          <a:bodyPr/>
          <a:lstStyle/>
          <a:p>
            <a:pPr>
              <a:defRPr sz="1400"/>
            </a:pPr>
            <a:endParaRPr lang="es-CO"/>
          </a:p>
        </c:txPr>
      </c:legendEntry>
      <c:legendEntry>
        <c:idx val="1"/>
        <c:txPr>
          <a:bodyPr/>
          <a:lstStyle/>
          <a:p>
            <a:pPr>
              <a:defRPr sz="1400"/>
            </a:pPr>
            <a:endParaRPr lang="es-CO"/>
          </a:p>
        </c:txPr>
      </c:legendEntry>
      <c:layout>
        <c:manualLayout>
          <c:xMode val="edge"/>
          <c:yMode val="edge"/>
          <c:x val="0.72548427702621032"/>
          <c:y val="4.4775062602764655E-2"/>
          <c:w val="0.27331342473991582"/>
          <c:h val="0.43330510270282446"/>
        </c:manualLayout>
      </c:layout>
      <c:overlay val="0"/>
      <c:txPr>
        <a:bodyPr/>
        <a:lstStyle/>
        <a:p>
          <a:pPr>
            <a:defRPr lang="he-IL" sz="1600"/>
          </a:pPr>
          <a:endParaRPr lang="es-CO"/>
        </a:p>
      </c:txPr>
    </c:legend>
    <c:plotVisOnly val="1"/>
    <c:dispBlanksAs val="gap"/>
    <c:showDLblsOverMax val="0"/>
  </c:chart>
  <c:printSettings>
    <c:headerFooter/>
    <c:pageMargins b="0.75000000000000844" l="0.70000000000000062" r="0.70000000000000062" t="0.75000000000000844" header="0.30000000000000032" footer="0.30000000000000032"/>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s-CO" sz="2000">
                <a:solidFill>
                  <a:schemeClr val="bg1"/>
                </a:solidFill>
              </a:rPr>
              <a:t>4. Porcentaje (%) de Acciones Correctivas y de Mejora Establecidad Eficazmente por Proceso</a:t>
            </a:r>
          </a:p>
        </c:rich>
      </c:tx>
      <c:layout>
        <c:manualLayout>
          <c:xMode val="edge"/>
          <c:yMode val="edge"/>
          <c:x val="0.17218119662863188"/>
          <c:y val="1.5135137711877031E-2"/>
        </c:manualLayout>
      </c:layout>
      <c:overlay val="0"/>
      <c:spPr>
        <a:solidFill>
          <a:schemeClr val="accent5">
            <a:lumMod val="75000"/>
          </a:schemeClr>
        </a:solid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es-CO"/>
        </a:p>
      </c:txPr>
    </c:title>
    <c:autoTitleDeleted val="0"/>
    <c:plotArea>
      <c:layout/>
      <c:scatterChart>
        <c:scatterStyle val="line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'Hoja 9. FC-4'!#REF!</c:f>
            </c:numRef>
          </c:xVal>
          <c:yVal>
            <c:numRef>
              <c:f>'Hoja 9. FC-4'!#REF!</c:f>
              <c:numCache>
                <c:formatCode>General</c:formatCode>
                <c:ptCount val="1"/>
                <c:pt idx="0">
                  <c:v>1</c:v>
                </c:pt>
              </c:numCache>
            </c:numRef>
          </c:yVal>
          <c:smooth val="0"/>
          <c:extLst>
            <c:ext xmlns:c15="http://schemas.microsoft.com/office/drawing/2012/chart" uri="{02D57815-91ED-43cb-92C2-25804820EDAC}">
              <c15:filteredSeriesTitle>
                <c15:tx>
                  <c:strRef>
                    <c:extLst xmlns:c16="http://schemas.microsoft.com/office/drawing/2014/chart">
                      <c:ext uri="{02D57815-91ED-43cb-92C2-25804820EDAC}">
                        <c15:formulaRef>
                          <c15:sqref>'Hoja 9. FC-4'!#REF!</c15:sqref>
                        </c15:formulaRef>
                      </c:ext>
                    </c:extLst>
                    <c:strCache>
                      <c:ptCount val="1"/>
                      <c:pt idx="0">
                        <c:v>#REF!</c:v>
                      </c:pt>
                    </c:strCache>
                  </c:strRef>
                </c15:tx>
              </c15:filteredSeriesTitle>
            </c:ext>
            <c:ext xmlns:c16="http://schemas.microsoft.com/office/drawing/2014/chart" uri="{C3380CC4-5D6E-409C-BE32-E72D297353CC}">
              <c16:uniqueId val="{00000000-026A-4D0A-9D4F-3A2C15C7AC89}"/>
            </c:ext>
          </c:extLst>
        </c:ser>
        <c:ser>
          <c:idx val="1"/>
          <c:order val="1"/>
          <c:spPr>
            <a:ln w="19050" cap="rnd">
              <a:solidFill>
                <a:schemeClr val="accent2"/>
              </a:solidFill>
              <a:round/>
            </a:ln>
            <a:effectLst/>
          </c:spPr>
          <c:marker>
            <c:symbol val="circle"/>
            <c:size val="5"/>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'Hoja 9. FC-4'!#REF!</c:f>
            </c:numRef>
          </c:xVal>
          <c:yVal>
            <c:numRef>
              <c:f>'Hoja 9. FC-4'!#REF!</c:f>
              <c:numCache>
                <c:formatCode>General</c:formatCode>
                <c:ptCount val="1"/>
                <c:pt idx="0">
                  <c:v>1</c:v>
                </c:pt>
              </c:numCache>
            </c:numRef>
          </c:yVal>
          <c:smooth val="0"/>
          <c:extLst>
            <c:ext xmlns:c15="http://schemas.microsoft.com/office/drawing/2012/chart" uri="{02D57815-91ED-43cb-92C2-25804820EDAC}">
              <c15:filteredSeriesTitle>
                <c15:tx>
                  <c:strRef>
                    <c:extLst xmlns:c16="http://schemas.microsoft.com/office/drawing/2014/chart">
                      <c:ext uri="{02D57815-91ED-43cb-92C2-25804820EDAC}">
                        <c15:formulaRef>
                          <c15:sqref>'Hoja 9. FC-4'!#REF!</c15:sqref>
                        </c15:formulaRef>
                      </c:ext>
                    </c:extLst>
                    <c:strCache>
                      <c:ptCount val="1"/>
                      <c:pt idx="0">
                        <c:v>#REF!</c:v>
                      </c:pt>
                    </c:strCache>
                  </c:strRef>
                </c15:tx>
              </c15:filteredSeriesTitle>
            </c:ext>
            <c:ext xmlns:c16="http://schemas.microsoft.com/office/drawing/2014/chart" uri="{C3380CC4-5D6E-409C-BE32-E72D297353CC}">
              <c16:uniqueId val="{00000001-026A-4D0A-9D4F-3A2C15C7AC89}"/>
            </c:ext>
          </c:extLst>
        </c:ser>
        <c:ser>
          <c:idx val="2"/>
          <c:order val="2"/>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'Hoja 9. FC-4'!#REF!</c:f>
            </c:numRef>
          </c:xVal>
          <c:yVal>
            <c:numRef>
              <c:f>'Hoja 9. FC-4'!#REF!</c:f>
              <c:numCache>
                <c:formatCode>General</c:formatCode>
                <c:ptCount val="1"/>
                <c:pt idx="0">
                  <c:v>1</c:v>
                </c:pt>
              </c:numCache>
            </c:numRef>
          </c:yVal>
          <c:smooth val="0"/>
          <c:extLst>
            <c:ext xmlns:c15="http://schemas.microsoft.com/office/drawing/2012/chart" uri="{02D57815-91ED-43cb-92C2-25804820EDAC}">
              <c15:filteredSeriesTitle>
                <c15:tx>
                  <c:strRef>
                    <c:extLst xmlns:c16="http://schemas.microsoft.com/office/drawing/2014/chart">
                      <c:ext uri="{02D57815-91ED-43cb-92C2-25804820EDAC}">
                        <c15:formulaRef>
                          <c15:sqref>'Hoja 9. FC-4'!#REF!</c15:sqref>
                        </c15:formulaRef>
                      </c:ext>
                    </c:extLst>
                    <c:strCache>
                      <c:ptCount val="1"/>
                      <c:pt idx="0">
                        <c:v>#REF!</c:v>
                      </c:pt>
                    </c:strCache>
                  </c:strRef>
                </c15:tx>
              </c15:filteredSeriesTitle>
            </c:ext>
            <c:ext xmlns:c16="http://schemas.microsoft.com/office/drawing/2014/chart" uri="{C3380CC4-5D6E-409C-BE32-E72D297353CC}">
              <c16:uniqueId val="{00000002-026A-4D0A-9D4F-3A2C15C7AC89}"/>
            </c:ext>
          </c:extLst>
        </c:ser>
        <c:dLbls>
          <c:showLegendKey val="0"/>
          <c:showVal val="0"/>
          <c:showCatName val="0"/>
          <c:showSerName val="0"/>
          <c:showPercent val="0"/>
          <c:showBubbleSize val="0"/>
        </c:dLbls>
        <c:axId val="191250192"/>
        <c:axId val="191261168"/>
      </c:scatterChart>
      <c:valAx>
        <c:axId val="19125019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crossAx val="191261168"/>
        <c:crosses val="autoZero"/>
        <c:crossBetween val="midCat"/>
      </c:valAx>
      <c:valAx>
        <c:axId val="191261168"/>
        <c:scaling>
          <c:orientation val="minMax"/>
          <c:max val="1.1000000000000001"/>
          <c:min val="0.75000000000000011"/>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CO"/>
          </a:p>
        </c:txPr>
        <c:crossAx val="191250192"/>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s-CO" sz="1600">
                <a:solidFill>
                  <a:schemeClr val="bg1"/>
                </a:solidFill>
              </a:rPr>
              <a:t>7. Porcentaje (%) de Cumplimiento</a:t>
            </a:r>
            <a:r>
              <a:rPr lang="es-CO" sz="1600" baseline="0">
                <a:solidFill>
                  <a:schemeClr val="bg1"/>
                </a:solidFill>
              </a:rPr>
              <a:t> por Proceso de la Meta MADS del Indice de Evaluación de Desempeño Institucional - IEDI</a:t>
            </a:r>
            <a:endParaRPr lang="es-CO" sz="1600">
              <a:solidFill>
                <a:schemeClr val="bg1"/>
              </a:solidFill>
            </a:endParaRPr>
          </a:p>
        </c:rich>
      </c:tx>
      <c:layout>
        <c:manualLayout>
          <c:xMode val="edge"/>
          <c:yMode val="edge"/>
          <c:x val="0.14698320623894115"/>
          <c:y val="2.2152777413240111E-2"/>
        </c:manualLayout>
      </c:layout>
      <c:overlay val="0"/>
      <c:spPr>
        <a:solidFill>
          <a:schemeClr val="accent5">
            <a:lumMod val="75000"/>
          </a:schemeClr>
        </a:solid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es-CO"/>
        </a:p>
      </c:txPr>
    </c:title>
    <c:autoTitleDeleted val="0"/>
    <c:plotArea>
      <c:layout/>
      <c:scatterChart>
        <c:scatterStyle val="lineMarker"/>
        <c:varyColors val="0"/>
        <c:ser>
          <c:idx val="1"/>
          <c:order val="0"/>
          <c:tx>
            <c:strRef>
              <c:f>'Hoja 5. GP-7 (2)'!$B$5:$B$6</c:f>
              <c:strCache>
                <c:ptCount val="2"/>
                <c:pt idx="0">
                  <c:v>Resultados </c:v>
                </c:pt>
                <c:pt idx="1">
                  <c:v>Dato</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'Hoja 5. GP-7 (2)'!$A$7:$A$9</c:f>
              <c:numCache>
                <c:formatCode>General</c:formatCode>
                <c:ptCount val="3"/>
                <c:pt idx="0">
                  <c:v>2019</c:v>
                </c:pt>
                <c:pt idx="1">
                  <c:v>2020</c:v>
                </c:pt>
                <c:pt idx="2">
                  <c:v>2021</c:v>
                </c:pt>
              </c:numCache>
            </c:numRef>
          </c:xVal>
          <c:yVal>
            <c:numRef>
              <c:f>'Hoja 5. GP-7 (2)'!$B$7:$B$9</c:f>
              <c:numCache>
                <c:formatCode>0%</c:formatCode>
                <c:ptCount val="3"/>
                <c:pt idx="0">
                  <c:v>0.33319131283690362</c:v>
                </c:pt>
                <c:pt idx="1">
                  <c:v>0.1293719990598855</c:v>
                </c:pt>
                <c:pt idx="2">
                  <c:v>0</c:v>
                </c:pt>
              </c:numCache>
            </c:numRef>
          </c:yVal>
          <c:smooth val="0"/>
          <c:extLst>
            <c:ext xmlns:c16="http://schemas.microsoft.com/office/drawing/2014/chart" uri="{C3380CC4-5D6E-409C-BE32-E72D297353CC}">
              <c16:uniqueId val="{00000000-2096-4265-955F-2FBACD7133E3}"/>
            </c:ext>
          </c:extLst>
        </c:ser>
        <c:ser>
          <c:idx val="2"/>
          <c:order val="1"/>
          <c:tx>
            <c:strRef>
              <c:f>'Hoja 5. GP-7 (2)'!$C$5:$C$6</c:f>
              <c:strCache>
                <c:ptCount val="2"/>
                <c:pt idx="0">
                  <c:v>Resultados </c:v>
                </c:pt>
                <c:pt idx="1">
                  <c:v>Meta</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'Hoja 5. GP-7 (2)'!$A$7:$A$9</c:f>
              <c:numCache>
                <c:formatCode>General</c:formatCode>
                <c:ptCount val="3"/>
                <c:pt idx="0">
                  <c:v>2019</c:v>
                </c:pt>
                <c:pt idx="1">
                  <c:v>2020</c:v>
                </c:pt>
                <c:pt idx="2">
                  <c:v>2021</c:v>
                </c:pt>
              </c:numCache>
            </c:numRef>
          </c:xVal>
          <c:yVal>
            <c:numRef>
              <c:f>'Hoja 5. GP-7 (2)'!$C$7:$C$9</c:f>
              <c:numCache>
                <c:formatCode>0%</c:formatCode>
                <c:ptCount val="3"/>
                <c:pt idx="0">
                  <c:v>0.1</c:v>
                </c:pt>
                <c:pt idx="1">
                  <c:v>0.1</c:v>
                </c:pt>
                <c:pt idx="2">
                  <c:v>1</c:v>
                </c:pt>
              </c:numCache>
            </c:numRef>
          </c:yVal>
          <c:smooth val="0"/>
          <c:extLst>
            <c:ext xmlns:c16="http://schemas.microsoft.com/office/drawing/2014/chart" uri="{C3380CC4-5D6E-409C-BE32-E72D297353CC}">
              <c16:uniqueId val="{00000001-2096-4265-955F-2FBACD7133E3}"/>
            </c:ext>
          </c:extLst>
        </c:ser>
        <c:ser>
          <c:idx val="0"/>
          <c:order val="2"/>
          <c:tx>
            <c:strRef>
              <c:f>'Hoja 5. GP-7 (2)'!$D$6</c:f>
              <c:strCache>
                <c:ptCount val="1"/>
                <c:pt idx="0">
                  <c:v>Cumplimiento</c:v>
                </c:pt>
              </c:strCache>
            </c:strRef>
          </c:tx>
          <c:spPr>
            <a:ln w="28575" cap="rnd">
              <a:solidFill>
                <a:srgbClr val="FF0000"/>
              </a:solidFill>
              <a:prstDash val="dash"/>
              <a:round/>
            </a:ln>
            <a:effectLst/>
          </c:spPr>
          <c:marker>
            <c:symbol val="circle"/>
            <c:size val="5"/>
            <c:spPr>
              <a:solidFill>
                <a:schemeClr val="accent1"/>
              </a:solidFill>
              <a:ln w="9525">
                <a:solidFill>
                  <a:schemeClr val="accent1"/>
                </a:solidFill>
              </a:ln>
              <a:effectLst/>
            </c:spPr>
          </c:marker>
          <c:xVal>
            <c:numRef>
              <c:f>'Hoja 5. GP-7 (2)'!$A$7:$A$9</c:f>
              <c:numCache>
                <c:formatCode>General</c:formatCode>
                <c:ptCount val="3"/>
                <c:pt idx="0">
                  <c:v>2019</c:v>
                </c:pt>
                <c:pt idx="1">
                  <c:v>2020</c:v>
                </c:pt>
                <c:pt idx="2">
                  <c:v>2021</c:v>
                </c:pt>
              </c:numCache>
            </c:numRef>
          </c:xVal>
          <c:yVal>
            <c:numRef>
              <c:f>'Hoja 5. GP-7 (2)'!$D$7:$D$9</c:f>
              <c:numCache>
                <c:formatCode>0%</c:formatCode>
                <c:ptCount val="3"/>
                <c:pt idx="0">
                  <c:v>3.331913128369036</c:v>
                </c:pt>
                <c:pt idx="1">
                  <c:v>1.293719990598855</c:v>
                </c:pt>
                <c:pt idx="2">
                  <c:v>0</c:v>
                </c:pt>
              </c:numCache>
            </c:numRef>
          </c:yVal>
          <c:smooth val="0"/>
          <c:extLst>
            <c:ext xmlns:c16="http://schemas.microsoft.com/office/drawing/2014/chart" uri="{C3380CC4-5D6E-409C-BE32-E72D297353CC}">
              <c16:uniqueId val="{00000001-91F6-4D5B-B9C0-FBC0540653B1}"/>
            </c:ext>
          </c:extLst>
        </c:ser>
        <c:dLbls>
          <c:showLegendKey val="0"/>
          <c:showVal val="0"/>
          <c:showCatName val="0"/>
          <c:showSerName val="0"/>
          <c:showPercent val="0"/>
          <c:showBubbleSize val="0"/>
        </c:dLbls>
        <c:axId val="191261560"/>
        <c:axId val="191259208"/>
      </c:scatterChart>
      <c:valAx>
        <c:axId val="191261560"/>
        <c:scaling>
          <c:orientation val="minMax"/>
          <c:min val="2018"/>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crossAx val="191259208"/>
        <c:crosses val="autoZero"/>
        <c:crossBetween val="midCat"/>
        <c:majorUnit val="1"/>
      </c:valAx>
      <c:valAx>
        <c:axId val="1912592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CO"/>
          </a:p>
        </c:txPr>
        <c:crossAx val="191261560"/>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2"/>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 cumplimiento por trámite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'Hoja 6. AA 2017'!$G$124</c:f>
              <c:strCache>
                <c:ptCount val="1"/>
                <c:pt idx="0">
                  <c:v>2016</c:v>
                </c:pt>
              </c:strCache>
            </c:strRef>
          </c:tx>
          <c:spPr>
            <a:solidFill>
              <a:schemeClr val="accent1"/>
            </a:solidFill>
            <a:ln>
              <a:noFill/>
            </a:ln>
            <a:effectLst/>
          </c:spPr>
          <c:invertIfNegative val="0"/>
          <c:cat>
            <c:strRef>
              <c:f>'Hoja 6. AA 2017'!$A$125:$F$131</c:f>
              <c:strCache>
                <c:ptCount val="7"/>
                <c:pt idx="0">
                  <c:v>Licencia Ambiental</c:v>
                </c:pt>
                <c:pt idx="1">
                  <c:v>Concesiones de Aguas Subterráneas y Superficiales</c:v>
                </c:pt>
                <c:pt idx="2">
                  <c:v>Permisos de Vertimientos</c:v>
                </c:pt>
                <c:pt idx="3">
                  <c:v>Aprovechamiento Forestal </c:v>
                </c:pt>
                <c:pt idx="4">
                  <c:v>Permisos de Emisiones Atmosfericas</c:v>
                </c:pt>
                <c:pt idx="5">
                  <c:v>Porcentaje (%) de Trámites Resueltos en un Tiempo Igual o Inferior a lo Reglamentado en el SGC</c:v>
                </c:pt>
                <c:pt idx="6">
                  <c:v>Meta</c:v>
                </c:pt>
              </c:strCache>
            </c:strRef>
          </c:cat>
          <c:val>
            <c:numRef>
              <c:f>'Hoja 6. AA 2017'!$G$125:$G$131</c:f>
              <c:numCache>
                <c:formatCode>0%</c:formatCode>
                <c:ptCount val="7"/>
                <c:pt idx="0">
                  <c:v>0</c:v>
                </c:pt>
                <c:pt idx="1">
                  <c:v>0.74137931034482762</c:v>
                </c:pt>
                <c:pt idx="2">
                  <c:v>0.40740740740740738</c:v>
                </c:pt>
                <c:pt idx="3">
                  <c:v>0.78</c:v>
                </c:pt>
                <c:pt idx="4">
                  <c:v>1</c:v>
                </c:pt>
                <c:pt idx="5">
                  <c:v>0.67625899280575541</c:v>
                </c:pt>
                <c:pt idx="6">
                  <c:v>0.8</c:v>
                </c:pt>
              </c:numCache>
            </c:numRef>
          </c:val>
          <c:extLst>
            <c:ext xmlns:c16="http://schemas.microsoft.com/office/drawing/2014/chart" uri="{C3380CC4-5D6E-409C-BE32-E72D297353CC}">
              <c16:uniqueId val="{00000000-7FAE-4C15-856C-3B86D0CB3AE3}"/>
            </c:ext>
          </c:extLst>
        </c:ser>
        <c:ser>
          <c:idx val="1"/>
          <c:order val="1"/>
          <c:tx>
            <c:strRef>
              <c:f>'Hoja 6. AA 2017'!$H$124</c:f>
              <c:strCache>
                <c:ptCount val="1"/>
                <c:pt idx="0">
                  <c:v>2017</c:v>
                </c:pt>
              </c:strCache>
            </c:strRef>
          </c:tx>
          <c:spPr>
            <a:solidFill>
              <a:schemeClr val="accent2"/>
            </a:solidFill>
            <a:ln>
              <a:noFill/>
            </a:ln>
            <a:effectLst/>
          </c:spPr>
          <c:invertIfNegative val="0"/>
          <c:cat>
            <c:strRef>
              <c:f>'Hoja 6. AA 2017'!$A$125:$F$131</c:f>
              <c:strCache>
                <c:ptCount val="7"/>
                <c:pt idx="0">
                  <c:v>Licencia Ambiental</c:v>
                </c:pt>
                <c:pt idx="1">
                  <c:v>Concesiones de Aguas Subterráneas y Superficiales</c:v>
                </c:pt>
                <c:pt idx="2">
                  <c:v>Permisos de Vertimientos</c:v>
                </c:pt>
                <c:pt idx="3">
                  <c:v>Aprovechamiento Forestal </c:v>
                </c:pt>
                <c:pt idx="4">
                  <c:v>Permisos de Emisiones Atmosfericas</c:v>
                </c:pt>
                <c:pt idx="5">
                  <c:v>Porcentaje (%) de Trámites Resueltos en un Tiempo Igual o Inferior a lo Reglamentado en el SGC</c:v>
                </c:pt>
                <c:pt idx="6">
                  <c:v>Meta</c:v>
                </c:pt>
              </c:strCache>
            </c:strRef>
          </c:cat>
          <c:val>
            <c:numRef>
              <c:f>'Hoja 6. AA 2017'!$H$125:$H$131</c:f>
              <c:numCache>
                <c:formatCode>0%</c:formatCode>
                <c:ptCount val="7"/>
                <c:pt idx="0">
                  <c:v>0</c:v>
                </c:pt>
                <c:pt idx="1">
                  <c:v>0.94</c:v>
                </c:pt>
                <c:pt idx="2">
                  <c:v>0.55000000000000004</c:v>
                </c:pt>
                <c:pt idx="3">
                  <c:v>0.83</c:v>
                </c:pt>
                <c:pt idx="4">
                  <c:v>1</c:v>
                </c:pt>
                <c:pt idx="5">
                  <c:v>0.78</c:v>
                </c:pt>
                <c:pt idx="6">
                  <c:v>0.8</c:v>
                </c:pt>
              </c:numCache>
            </c:numRef>
          </c:val>
          <c:extLst>
            <c:ext xmlns:c16="http://schemas.microsoft.com/office/drawing/2014/chart" uri="{C3380CC4-5D6E-409C-BE32-E72D297353CC}">
              <c16:uniqueId val="{00000001-7FAE-4C15-856C-3B86D0CB3AE3}"/>
            </c:ext>
          </c:extLst>
        </c:ser>
        <c:dLbls>
          <c:showLegendKey val="0"/>
          <c:showVal val="0"/>
          <c:showCatName val="0"/>
          <c:showSerName val="0"/>
          <c:showPercent val="0"/>
          <c:showBubbleSize val="0"/>
        </c:dLbls>
        <c:gapWidth val="219"/>
        <c:overlap val="-27"/>
        <c:axId val="689560736"/>
        <c:axId val="689556424"/>
      </c:barChart>
      <c:catAx>
        <c:axId val="689560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9556424"/>
        <c:crosses val="autoZero"/>
        <c:auto val="1"/>
        <c:lblAlgn val="ctr"/>
        <c:lblOffset val="100"/>
        <c:noMultiLvlLbl val="0"/>
      </c:catAx>
      <c:valAx>
        <c:axId val="68955642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95607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 cumpliento</a:t>
            </a:r>
            <a:r>
              <a:rPr lang="es-CO" baseline="0"/>
              <a:t> total</a:t>
            </a:r>
            <a:endParaRPr lang="es-CO"/>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lineChart>
        <c:grouping val="standard"/>
        <c:varyColors val="0"/>
        <c:ser>
          <c:idx val="0"/>
          <c:order val="0"/>
          <c:tx>
            <c:strRef>
              <c:f>'Hoja 6. AA 2017'!$A$130:$F$130</c:f>
              <c:strCache>
                <c:ptCount val="6"/>
                <c:pt idx="0">
                  <c:v>Porcentaje (%) de Trámites Resueltos en un Tiempo Igual o Inferior a lo Reglamentado en el SGC</c:v>
                </c:pt>
              </c:strCache>
            </c:strRef>
          </c:tx>
          <c:spPr>
            <a:ln w="28575" cap="rnd">
              <a:solidFill>
                <a:schemeClr val="accent1"/>
              </a:solidFill>
              <a:round/>
            </a:ln>
            <a:effectLst/>
          </c:spPr>
          <c:marker>
            <c:symbol val="none"/>
          </c:marker>
          <c:cat>
            <c:numRef>
              <c:f>'Hoja 6. AA 2017'!$G$124:$H$124</c:f>
              <c:numCache>
                <c:formatCode>General</c:formatCode>
                <c:ptCount val="2"/>
                <c:pt idx="0">
                  <c:v>2016</c:v>
                </c:pt>
                <c:pt idx="1">
                  <c:v>2017</c:v>
                </c:pt>
              </c:numCache>
            </c:numRef>
          </c:cat>
          <c:val>
            <c:numRef>
              <c:f>'Hoja 6. AA 2017'!$G$130:$H$130</c:f>
              <c:numCache>
                <c:formatCode>0%</c:formatCode>
                <c:ptCount val="2"/>
                <c:pt idx="0">
                  <c:v>0.67625899280575541</c:v>
                </c:pt>
                <c:pt idx="1">
                  <c:v>0.78</c:v>
                </c:pt>
              </c:numCache>
            </c:numRef>
          </c:val>
          <c:smooth val="0"/>
          <c:extLst>
            <c:ext xmlns:c16="http://schemas.microsoft.com/office/drawing/2014/chart" uri="{C3380CC4-5D6E-409C-BE32-E72D297353CC}">
              <c16:uniqueId val="{00000000-FFFE-44A7-8D07-C2F7F5B36851}"/>
            </c:ext>
          </c:extLst>
        </c:ser>
        <c:ser>
          <c:idx val="1"/>
          <c:order val="1"/>
          <c:tx>
            <c:strRef>
              <c:f>'Hoja 6. AA 2017'!$A$131:$F$131</c:f>
              <c:strCache>
                <c:ptCount val="6"/>
                <c:pt idx="0">
                  <c:v>Meta</c:v>
                </c:pt>
              </c:strCache>
            </c:strRef>
          </c:tx>
          <c:spPr>
            <a:ln w="28575" cap="rnd">
              <a:solidFill>
                <a:schemeClr val="accent2"/>
              </a:solidFill>
              <a:round/>
            </a:ln>
            <a:effectLst/>
          </c:spPr>
          <c:marker>
            <c:symbol val="none"/>
          </c:marker>
          <c:cat>
            <c:numRef>
              <c:f>'Hoja 6. AA 2017'!$G$124:$H$124</c:f>
              <c:numCache>
                <c:formatCode>General</c:formatCode>
                <c:ptCount val="2"/>
                <c:pt idx="0">
                  <c:v>2016</c:v>
                </c:pt>
                <c:pt idx="1">
                  <c:v>2017</c:v>
                </c:pt>
              </c:numCache>
            </c:numRef>
          </c:cat>
          <c:val>
            <c:numRef>
              <c:f>'Hoja 6. AA 2017'!$G$131:$H$131</c:f>
              <c:numCache>
                <c:formatCode>0%</c:formatCode>
                <c:ptCount val="2"/>
                <c:pt idx="0">
                  <c:v>0.8</c:v>
                </c:pt>
                <c:pt idx="1">
                  <c:v>0.8</c:v>
                </c:pt>
              </c:numCache>
            </c:numRef>
          </c:val>
          <c:smooth val="0"/>
          <c:extLst>
            <c:ext xmlns:c16="http://schemas.microsoft.com/office/drawing/2014/chart" uri="{C3380CC4-5D6E-409C-BE32-E72D297353CC}">
              <c16:uniqueId val="{00000001-FFFE-44A7-8D07-C2F7F5B36851}"/>
            </c:ext>
          </c:extLst>
        </c:ser>
        <c:dLbls>
          <c:showLegendKey val="0"/>
          <c:showVal val="0"/>
          <c:showCatName val="0"/>
          <c:showSerName val="0"/>
          <c:showPercent val="0"/>
          <c:showBubbleSize val="0"/>
        </c:dLbls>
        <c:smooth val="0"/>
        <c:axId val="689559952"/>
        <c:axId val="689561128"/>
      </c:lineChart>
      <c:catAx>
        <c:axId val="689559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9561128"/>
        <c:crosses val="autoZero"/>
        <c:auto val="1"/>
        <c:lblAlgn val="ctr"/>
        <c:lblOffset val="100"/>
        <c:noMultiLvlLbl val="0"/>
      </c:catAx>
      <c:valAx>
        <c:axId val="68956112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95599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'Hoja 6. AA 2017'!$G$277</c:f>
              <c:strCache>
                <c:ptCount val="1"/>
                <c:pt idx="0">
                  <c:v>2016</c:v>
                </c:pt>
              </c:strCache>
            </c:strRef>
          </c:tx>
          <c:spPr>
            <a:solidFill>
              <a:schemeClr val="accent1"/>
            </a:solidFill>
            <a:ln>
              <a:noFill/>
            </a:ln>
            <a:effectLst/>
          </c:spPr>
          <c:invertIfNegative val="0"/>
          <c:cat>
            <c:strRef>
              <c:f>'Hoja 6. AA 2017'!$A$278:$F$284</c:f>
              <c:strCache>
                <c:ptCount val="7"/>
                <c:pt idx="0">
                  <c:v>Territorial Centro</c:v>
                </c:pt>
                <c:pt idx="1">
                  <c:v>Territorial Atrato</c:v>
                </c:pt>
                <c:pt idx="2">
                  <c:v>Territorial Caribe</c:v>
                </c:pt>
                <c:pt idx="3">
                  <c:v>Territorial Nutibara</c:v>
                </c:pt>
                <c:pt idx="4">
                  <c:v>Territorial Urrao</c:v>
                </c:pt>
                <c:pt idx="5">
                  <c:v>Todas las Territoriales</c:v>
                </c:pt>
                <c:pt idx="6">
                  <c:v>Meta</c:v>
                </c:pt>
              </c:strCache>
            </c:strRef>
          </c:cat>
          <c:val>
            <c:numRef>
              <c:f>'Hoja 6. AA 2017'!$G$278:$G$284</c:f>
              <c:numCache>
                <c:formatCode>0%</c:formatCode>
                <c:ptCount val="7"/>
                <c:pt idx="0">
                  <c:v>1</c:v>
                </c:pt>
                <c:pt idx="1">
                  <c:v>0.8</c:v>
                </c:pt>
                <c:pt idx="2">
                  <c:v>1</c:v>
                </c:pt>
                <c:pt idx="3">
                  <c:v>0.9375</c:v>
                </c:pt>
                <c:pt idx="4">
                  <c:v>0.72727272727272729</c:v>
                </c:pt>
                <c:pt idx="5">
                  <c:v>0.8571428571428571</c:v>
                </c:pt>
                <c:pt idx="6">
                  <c:v>0.9</c:v>
                </c:pt>
              </c:numCache>
            </c:numRef>
          </c:val>
          <c:extLst>
            <c:ext xmlns:c16="http://schemas.microsoft.com/office/drawing/2014/chart" uri="{C3380CC4-5D6E-409C-BE32-E72D297353CC}">
              <c16:uniqueId val="{00000000-9984-430A-ABF1-77E4E119E248}"/>
            </c:ext>
          </c:extLst>
        </c:ser>
        <c:ser>
          <c:idx val="1"/>
          <c:order val="1"/>
          <c:tx>
            <c:strRef>
              <c:f>'Hoja 6. AA 2017'!$H$277</c:f>
              <c:strCache>
                <c:ptCount val="1"/>
                <c:pt idx="0">
                  <c:v>2017</c:v>
                </c:pt>
              </c:strCache>
            </c:strRef>
          </c:tx>
          <c:spPr>
            <a:solidFill>
              <a:schemeClr val="accent2"/>
            </a:solidFill>
            <a:ln>
              <a:noFill/>
            </a:ln>
            <a:effectLst/>
          </c:spPr>
          <c:invertIfNegative val="0"/>
          <c:cat>
            <c:strRef>
              <c:f>'Hoja 6. AA 2017'!$A$278:$F$284</c:f>
              <c:strCache>
                <c:ptCount val="7"/>
                <c:pt idx="0">
                  <c:v>Territorial Centro</c:v>
                </c:pt>
                <c:pt idx="1">
                  <c:v>Territorial Atrato</c:v>
                </c:pt>
                <c:pt idx="2">
                  <c:v>Territorial Caribe</c:v>
                </c:pt>
                <c:pt idx="3">
                  <c:v>Territorial Nutibara</c:v>
                </c:pt>
                <c:pt idx="4">
                  <c:v>Territorial Urrao</c:v>
                </c:pt>
                <c:pt idx="5">
                  <c:v>Todas las Territoriales</c:v>
                </c:pt>
                <c:pt idx="6">
                  <c:v>Meta</c:v>
                </c:pt>
              </c:strCache>
            </c:strRef>
          </c:cat>
          <c:val>
            <c:numRef>
              <c:f>'Hoja 6. AA 2017'!$H$278:$H$284</c:f>
              <c:numCache>
                <c:formatCode>0%</c:formatCode>
                <c:ptCount val="7"/>
                <c:pt idx="0">
                  <c:v>1</c:v>
                </c:pt>
                <c:pt idx="1">
                  <c:v>1</c:v>
                </c:pt>
                <c:pt idx="2">
                  <c:v>1</c:v>
                </c:pt>
                <c:pt idx="3">
                  <c:v>0</c:v>
                </c:pt>
                <c:pt idx="4">
                  <c:v>0</c:v>
                </c:pt>
                <c:pt idx="5">
                  <c:v>1</c:v>
                </c:pt>
                <c:pt idx="6">
                  <c:v>0.9</c:v>
                </c:pt>
              </c:numCache>
            </c:numRef>
          </c:val>
          <c:extLst>
            <c:ext xmlns:c16="http://schemas.microsoft.com/office/drawing/2014/chart" uri="{C3380CC4-5D6E-409C-BE32-E72D297353CC}">
              <c16:uniqueId val="{00000001-9984-430A-ABF1-77E4E119E248}"/>
            </c:ext>
          </c:extLst>
        </c:ser>
        <c:ser>
          <c:idx val="2"/>
          <c:order val="2"/>
          <c:tx>
            <c:strRef>
              <c:f>'Hoja 6. AA 2017'!$I$277</c:f>
              <c:strCache>
                <c:ptCount val="1"/>
                <c:pt idx="0">
                  <c:v>2018</c:v>
                </c:pt>
              </c:strCache>
            </c:strRef>
          </c:tx>
          <c:spPr>
            <a:solidFill>
              <a:schemeClr val="accent3"/>
            </a:solidFill>
            <a:ln>
              <a:noFill/>
            </a:ln>
            <a:effectLst/>
          </c:spPr>
          <c:invertIfNegative val="0"/>
          <c:cat>
            <c:strRef>
              <c:f>'Hoja 6. AA 2017'!$A$278:$F$284</c:f>
              <c:strCache>
                <c:ptCount val="7"/>
                <c:pt idx="0">
                  <c:v>Territorial Centro</c:v>
                </c:pt>
                <c:pt idx="1">
                  <c:v>Territorial Atrato</c:v>
                </c:pt>
                <c:pt idx="2">
                  <c:v>Territorial Caribe</c:v>
                </c:pt>
                <c:pt idx="3">
                  <c:v>Territorial Nutibara</c:v>
                </c:pt>
                <c:pt idx="4">
                  <c:v>Territorial Urrao</c:v>
                </c:pt>
                <c:pt idx="5">
                  <c:v>Todas las Territoriales</c:v>
                </c:pt>
                <c:pt idx="6">
                  <c:v>Meta</c:v>
                </c:pt>
              </c:strCache>
            </c:strRef>
          </c:cat>
          <c:val>
            <c:numRef>
              <c:f>'Hoja 6. AA 2017'!$I$278:$I$284</c:f>
              <c:numCache>
                <c:formatCode>0%</c:formatCode>
                <c:ptCount val="7"/>
                <c:pt idx="0">
                  <c:v>1</c:v>
                </c:pt>
                <c:pt idx="1">
                  <c:v>1</c:v>
                </c:pt>
                <c:pt idx="2">
                  <c:v>1</c:v>
                </c:pt>
                <c:pt idx="3">
                  <c:v>0</c:v>
                </c:pt>
                <c:pt idx="4">
                  <c:v>0</c:v>
                </c:pt>
                <c:pt idx="5">
                  <c:v>1</c:v>
                </c:pt>
                <c:pt idx="6">
                  <c:v>0.9</c:v>
                </c:pt>
              </c:numCache>
            </c:numRef>
          </c:val>
          <c:extLst>
            <c:ext xmlns:c16="http://schemas.microsoft.com/office/drawing/2014/chart" uri="{C3380CC4-5D6E-409C-BE32-E72D297353CC}">
              <c16:uniqueId val="{00000002-9984-430A-ABF1-77E4E119E248}"/>
            </c:ext>
          </c:extLst>
        </c:ser>
        <c:dLbls>
          <c:showLegendKey val="0"/>
          <c:showVal val="0"/>
          <c:showCatName val="0"/>
          <c:showSerName val="0"/>
          <c:showPercent val="0"/>
          <c:showBubbleSize val="0"/>
        </c:dLbls>
        <c:gapWidth val="150"/>
        <c:axId val="689561520"/>
        <c:axId val="689553680"/>
      </c:barChart>
      <c:catAx>
        <c:axId val="689561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9553680"/>
        <c:crosses val="autoZero"/>
        <c:auto val="1"/>
        <c:lblAlgn val="ctr"/>
        <c:lblOffset val="100"/>
        <c:noMultiLvlLbl val="0"/>
      </c:catAx>
      <c:valAx>
        <c:axId val="6895536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95615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lineChart>
        <c:grouping val="standard"/>
        <c:varyColors val="0"/>
        <c:ser>
          <c:idx val="0"/>
          <c:order val="0"/>
          <c:tx>
            <c:strRef>
              <c:f>'Hoja 6. AA 2017'!$A$283:$F$283</c:f>
              <c:strCache>
                <c:ptCount val="6"/>
                <c:pt idx="0">
                  <c:v>Todas las Territoriales</c:v>
                </c:pt>
              </c:strCache>
            </c:strRef>
          </c:tx>
          <c:spPr>
            <a:ln w="28575" cap="rnd">
              <a:solidFill>
                <a:schemeClr val="accent1"/>
              </a:solidFill>
              <a:round/>
            </a:ln>
            <a:effectLst/>
          </c:spPr>
          <c:marker>
            <c:symbol val="none"/>
          </c:marker>
          <c:cat>
            <c:numRef>
              <c:f>'Hoja 6. AA 2017'!$G$277:$I$277</c:f>
              <c:numCache>
                <c:formatCode>General</c:formatCode>
                <c:ptCount val="3"/>
                <c:pt idx="0">
                  <c:v>2016</c:v>
                </c:pt>
                <c:pt idx="1">
                  <c:v>2017</c:v>
                </c:pt>
                <c:pt idx="2">
                  <c:v>2018</c:v>
                </c:pt>
              </c:numCache>
            </c:numRef>
          </c:cat>
          <c:val>
            <c:numRef>
              <c:f>'Hoja 6. AA 2017'!$G$283:$I$283</c:f>
              <c:numCache>
                <c:formatCode>0%</c:formatCode>
                <c:ptCount val="3"/>
                <c:pt idx="0">
                  <c:v>0.8571428571428571</c:v>
                </c:pt>
                <c:pt idx="1">
                  <c:v>1</c:v>
                </c:pt>
                <c:pt idx="2">
                  <c:v>1</c:v>
                </c:pt>
              </c:numCache>
            </c:numRef>
          </c:val>
          <c:smooth val="0"/>
          <c:extLst>
            <c:ext xmlns:c16="http://schemas.microsoft.com/office/drawing/2014/chart" uri="{C3380CC4-5D6E-409C-BE32-E72D297353CC}">
              <c16:uniqueId val="{00000000-9BB8-431C-A691-E7061CC4FB03}"/>
            </c:ext>
          </c:extLst>
        </c:ser>
        <c:ser>
          <c:idx val="1"/>
          <c:order val="1"/>
          <c:tx>
            <c:strRef>
              <c:f>'Hoja 6. AA 2017'!$A$284:$F$284</c:f>
              <c:strCache>
                <c:ptCount val="6"/>
                <c:pt idx="0">
                  <c:v>Meta</c:v>
                </c:pt>
              </c:strCache>
            </c:strRef>
          </c:tx>
          <c:spPr>
            <a:ln w="28575" cap="rnd">
              <a:solidFill>
                <a:schemeClr val="accent2"/>
              </a:solidFill>
              <a:round/>
            </a:ln>
            <a:effectLst/>
          </c:spPr>
          <c:marker>
            <c:symbol val="none"/>
          </c:marker>
          <c:cat>
            <c:numRef>
              <c:f>'Hoja 6. AA 2017'!$G$277:$I$277</c:f>
              <c:numCache>
                <c:formatCode>General</c:formatCode>
                <c:ptCount val="3"/>
                <c:pt idx="0">
                  <c:v>2016</c:v>
                </c:pt>
                <c:pt idx="1">
                  <c:v>2017</c:v>
                </c:pt>
                <c:pt idx="2">
                  <c:v>2018</c:v>
                </c:pt>
              </c:numCache>
            </c:numRef>
          </c:cat>
          <c:val>
            <c:numRef>
              <c:f>'Hoja 6. AA 2017'!$G$284:$I$284</c:f>
              <c:numCache>
                <c:formatCode>0%</c:formatCode>
                <c:ptCount val="3"/>
                <c:pt idx="0">
                  <c:v>0.9</c:v>
                </c:pt>
                <c:pt idx="1">
                  <c:v>0.9</c:v>
                </c:pt>
                <c:pt idx="2">
                  <c:v>0.9</c:v>
                </c:pt>
              </c:numCache>
            </c:numRef>
          </c:val>
          <c:smooth val="0"/>
          <c:extLst>
            <c:ext xmlns:c16="http://schemas.microsoft.com/office/drawing/2014/chart" uri="{C3380CC4-5D6E-409C-BE32-E72D297353CC}">
              <c16:uniqueId val="{00000001-9BB8-431C-A691-E7061CC4FB03}"/>
            </c:ext>
          </c:extLst>
        </c:ser>
        <c:dLbls>
          <c:showLegendKey val="0"/>
          <c:showVal val="0"/>
          <c:showCatName val="0"/>
          <c:showSerName val="0"/>
          <c:showPercent val="0"/>
          <c:showBubbleSize val="0"/>
        </c:dLbls>
        <c:smooth val="0"/>
        <c:axId val="689563480"/>
        <c:axId val="689562696"/>
      </c:lineChart>
      <c:catAx>
        <c:axId val="6895634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9562696"/>
        <c:crosses val="autoZero"/>
        <c:auto val="1"/>
        <c:lblAlgn val="ctr"/>
        <c:lblOffset val="100"/>
        <c:noMultiLvlLbl val="0"/>
      </c:catAx>
      <c:valAx>
        <c:axId val="68956269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95634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7. TH2'!$A$30:$F$30</c:f>
              <c:strCache>
                <c:ptCount val="6"/>
                <c:pt idx="0">
                  <c:v>Porcentaje (%) de Encuestas de Satisfacción del "Plan Anual de Formación, Capacitación, Bienestar Social e Incentivos del Personal" Calificadas por Parte de los Funcionarios con una Nota Igual o Superior a Tres Punto Cinco (3.5) Sobre Cinco (5.0)</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7. TH2'!$G$29:$M$29</c:f>
              <c:numCache>
                <c:formatCode>General</c:formatCode>
                <c:ptCount val="7"/>
                <c:pt idx="0">
                  <c:v>2009</c:v>
                </c:pt>
                <c:pt idx="1">
                  <c:v>2010</c:v>
                </c:pt>
                <c:pt idx="2">
                  <c:v>2011</c:v>
                </c:pt>
                <c:pt idx="3">
                  <c:v>2012</c:v>
                </c:pt>
                <c:pt idx="4">
                  <c:v>2013</c:v>
                </c:pt>
                <c:pt idx="5">
                  <c:v>2014</c:v>
                </c:pt>
                <c:pt idx="6">
                  <c:v>2015</c:v>
                </c:pt>
              </c:numCache>
            </c:numRef>
          </c:cat>
          <c:val>
            <c:numRef>
              <c:f>'Hoja 7. TH2'!$G$30:$M$30</c:f>
              <c:numCache>
                <c:formatCode>0%</c:formatCode>
                <c:ptCount val="7"/>
                <c:pt idx="0">
                  <c:v>0.4</c:v>
                </c:pt>
                <c:pt idx="1">
                  <c:v>0.54</c:v>
                </c:pt>
                <c:pt idx="2">
                  <c:v>0.55000000000000004</c:v>
                </c:pt>
                <c:pt idx="3">
                  <c:v>0.42</c:v>
                </c:pt>
                <c:pt idx="4">
                  <c:v>0.46</c:v>
                </c:pt>
                <c:pt idx="5">
                  <c:v>0.56000000000000005</c:v>
                </c:pt>
                <c:pt idx="6">
                  <c:v>0.61904761904761907</c:v>
                </c:pt>
              </c:numCache>
            </c:numRef>
          </c:val>
          <c:smooth val="0"/>
          <c:extLst>
            <c:ext xmlns:c16="http://schemas.microsoft.com/office/drawing/2014/chart" uri="{C3380CC4-5D6E-409C-BE32-E72D297353CC}">
              <c16:uniqueId val="{00000000-E201-4167-A498-D72C13D683EF}"/>
            </c:ext>
          </c:extLst>
        </c:ser>
        <c:ser>
          <c:idx val="1"/>
          <c:order val="1"/>
          <c:tx>
            <c:strRef>
              <c:f>'Hoja 7. TH2'!$A$31:$F$31</c:f>
              <c:strCache>
                <c:ptCount val="6"/>
                <c:pt idx="0">
                  <c:v>Meta</c:v>
                </c:pt>
              </c:strCache>
            </c:strRef>
          </c:tx>
          <c:spPr>
            <a:ln w="38100">
              <a:solidFill>
                <a:srgbClr val="FF0000"/>
              </a:solidFill>
            </a:ln>
          </c:spPr>
          <c:marker>
            <c:symbol val="none"/>
          </c:marker>
          <c:cat>
            <c:numRef>
              <c:f>'Hoja 7. TH2'!$G$29:$M$29</c:f>
              <c:numCache>
                <c:formatCode>General</c:formatCode>
                <c:ptCount val="7"/>
                <c:pt idx="0">
                  <c:v>2009</c:v>
                </c:pt>
                <c:pt idx="1">
                  <c:v>2010</c:v>
                </c:pt>
                <c:pt idx="2">
                  <c:v>2011</c:v>
                </c:pt>
                <c:pt idx="3">
                  <c:v>2012</c:v>
                </c:pt>
                <c:pt idx="4">
                  <c:v>2013</c:v>
                </c:pt>
                <c:pt idx="5">
                  <c:v>2014</c:v>
                </c:pt>
                <c:pt idx="6">
                  <c:v>2015</c:v>
                </c:pt>
              </c:numCache>
            </c:numRef>
          </c:cat>
          <c:val>
            <c:numRef>
              <c:f>'Hoja 7. TH2'!$G$31:$M$31</c:f>
              <c:numCache>
                <c:formatCode>0%</c:formatCode>
                <c:ptCount val="7"/>
                <c:pt idx="0">
                  <c:v>0.6</c:v>
                </c:pt>
                <c:pt idx="1">
                  <c:v>0.6</c:v>
                </c:pt>
                <c:pt idx="2">
                  <c:v>0.6</c:v>
                </c:pt>
                <c:pt idx="3">
                  <c:v>0.6</c:v>
                </c:pt>
                <c:pt idx="4">
                  <c:v>0.6</c:v>
                </c:pt>
                <c:pt idx="5">
                  <c:v>0.6</c:v>
                </c:pt>
                <c:pt idx="6">
                  <c:v>0.6</c:v>
                </c:pt>
              </c:numCache>
            </c:numRef>
          </c:val>
          <c:smooth val="0"/>
          <c:extLst>
            <c:ext xmlns:c16="http://schemas.microsoft.com/office/drawing/2014/chart" uri="{C3380CC4-5D6E-409C-BE32-E72D297353CC}">
              <c16:uniqueId val="{00000001-E201-4167-A498-D72C13D683EF}"/>
            </c:ext>
          </c:extLst>
        </c:ser>
        <c:dLbls>
          <c:showLegendKey val="0"/>
          <c:showVal val="0"/>
          <c:showCatName val="0"/>
          <c:showSerName val="0"/>
          <c:showPercent val="0"/>
          <c:showBubbleSize val="0"/>
        </c:dLbls>
        <c:smooth val="0"/>
        <c:axId val="558323944"/>
        <c:axId val="558327864"/>
      </c:lineChart>
      <c:catAx>
        <c:axId val="558323944"/>
        <c:scaling>
          <c:orientation val="minMax"/>
        </c:scaling>
        <c:delete val="0"/>
        <c:axPos val="b"/>
        <c:numFmt formatCode="General" sourceLinked="1"/>
        <c:majorTickMark val="out"/>
        <c:minorTickMark val="none"/>
        <c:tickLblPos val="nextTo"/>
        <c:txPr>
          <a:bodyPr/>
          <a:lstStyle/>
          <a:p>
            <a:pPr>
              <a:defRPr lang="he-IL" sz="1800"/>
            </a:pPr>
            <a:endParaRPr lang="es-CO"/>
          </a:p>
        </c:txPr>
        <c:crossAx val="558327864"/>
        <c:crosses val="autoZero"/>
        <c:auto val="1"/>
        <c:lblAlgn val="ctr"/>
        <c:lblOffset val="100"/>
        <c:noMultiLvlLbl val="0"/>
      </c:catAx>
      <c:valAx>
        <c:axId val="558327864"/>
        <c:scaling>
          <c:orientation val="minMax"/>
          <c:min val="0.3000000000000001"/>
        </c:scaling>
        <c:delete val="0"/>
        <c:axPos val="l"/>
        <c:majorGridlines/>
        <c:numFmt formatCode="0%" sourceLinked="1"/>
        <c:majorTickMark val="out"/>
        <c:minorTickMark val="none"/>
        <c:tickLblPos val="nextTo"/>
        <c:txPr>
          <a:bodyPr/>
          <a:lstStyle/>
          <a:p>
            <a:pPr>
              <a:defRPr lang="he-IL" sz="1800"/>
            </a:pPr>
            <a:endParaRPr lang="es-CO"/>
          </a:p>
        </c:txPr>
        <c:crossAx val="558323944"/>
        <c:crosses val="autoZero"/>
        <c:crossBetween val="between"/>
      </c:valAx>
    </c:plotArea>
    <c:legend>
      <c:legendPos val="r"/>
      <c:legendEntry>
        <c:idx val="0"/>
        <c:txPr>
          <a:bodyPr/>
          <a:lstStyle/>
          <a:p>
            <a:pPr>
              <a:defRPr sz="1200"/>
            </a:pPr>
            <a:endParaRPr lang="es-CO"/>
          </a:p>
        </c:txPr>
      </c:legendEntry>
      <c:legendEntry>
        <c:idx val="1"/>
        <c:txPr>
          <a:bodyPr/>
          <a:lstStyle/>
          <a:p>
            <a:pPr>
              <a:defRPr sz="1200"/>
            </a:pPr>
            <a:endParaRPr lang="es-CO"/>
          </a:p>
        </c:txPr>
      </c:legendEntry>
      <c:layout>
        <c:manualLayout>
          <c:xMode val="edge"/>
          <c:yMode val="edge"/>
          <c:x val="0.65833333333333965"/>
          <c:y val="1.5587634878973461E-3"/>
          <c:w val="0.34166667457568894"/>
          <c:h val="0.86426647243129517"/>
        </c:manualLayout>
      </c:layout>
      <c:overlay val="0"/>
      <c:txPr>
        <a:bodyPr/>
        <a:lstStyle/>
        <a:p>
          <a:pPr>
            <a:defRPr lang="he-IL" sz="1600"/>
          </a:pPr>
          <a:endParaRPr lang="es-CO"/>
        </a:p>
      </c:txPr>
    </c:legend>
    <c:plotVisOnly val="1"/>
    <c:dispBlanksAs val="gap"/>
    <c:showDLblsOverMax val="0"/>
  </c:chart>
  <c:printSettings>
    <c:headerFooter/>
    <c:pageMargins b="0.75000000000000777" l="0.70000000000000062" r="0.70000000000000062" t="0.75000000000000777" header="0.30000000000000032" footer="0.30000000000000032"/>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44654520549406"/>
          <c:y val="4.1296757354067314E-2"/>
          <c:w val="0.62365777876804429"/>
          <c:h val="0.85563453688733748"/>
        </c:manualLayout>
      </c:layout>
      <c:lineChart>
        <c:grouping val="standard"/>
        <c:varyColors val="0"/>
        <c:ser>
          <c:idx val="0"/>
          <c:order val="0"/>
          <c:tx>
            <c:strRef>
              <c:f>'Hoja 7. TH2'!$A$51:$F$51</c:f>
              <c:strCache>
                <c:ptCount val="6"/>
                <c:pt idx="0">
                  <c:v>Porcentaje (%) de Actividades de Formación y/o Capacitación de Personal Cumplidas Eficazmente</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7. TH2'!$G$50:$K$50</c:f>
              <c:numCache>
                <c:formatCode>General</c:formatCode>
                <c:ptCount val="5"/>
                <c:pt idx="0">
                  <c:v>2011</c:v>
                </c:pt>
                <c:pt idx="1">
                  <c:v>2012</c:v>
                </c:pt>
                <c:pt idx="2">
                  <c:v>2013</c:v>
                </c:pt>
                <c:pt idx="3">
                  <c:v>2014</c:v>
                </c:pt>
                <c:pt idx="4">
                  <c:v>2015</c:v>
                </c:pt>
              </c:numCache>
            </c:numRef>
          </c:cat>
          <c:val>
            <c:numRef>
              <c:f>'Hoja 7. TH2'!$G$51:$K$51</c:f>
              <c:numCache>
                <c:formatCode>0.0%</c:formatCode>
                <c:ptCount val="5"/>
                <c:pt idx="0">
                  <c:v>0.94699999999999995</c:v>
                </c:pt>
                <c:pt idx="1">
                  <c:v>0.91</c:v>
                </c:pt>
                <c:pt idx="2">
                  <c:v>0.91</c:v>
                </c:pt>
                <c:pt idx="3">
                  <c:v>0.41</c:v>
                </c:pt>
                <c:pt idx="4">
                  <c:v>0.72222222222222221</c:v>
                </c:pt>
              </c:numCache>
            </c:numRef>
          </c:val>
          <c:smooth val="0"/>
          <c:extLst>
            <c:ext xmlns:c16="http://schemas.microsoft.com/office/drawing/2014/chart" uri="{C3380CC4-5D6E-409C-BE32-E72D297353CC}">
              <c16:uniqueId val="{00000000-8BA0-4690-B1E6-93DCAB1435FA}"/>
            </c:ext>
          </c:extLst>
        </c:ser>
        <c:ser>
          <c:idx val="1"/>
          <c:order val="1"/>
          <c:tx>
            <c:strRef>
              <c:f>'Hoja 7. TH2'!$A$52:$F$52</c:f>
              <c:strCache>
                <c:ptCount val="6"/>
                <c:pt idx="0">
                  <c:v>Meta</c:v>
                </c:pt>
              </c:strCache>
            </c:strRef>
          </c:tx>
          <c:spPr>
            <a:ln w="38100">
              <a:solidFill>
                <a:srgbClr val="FF0000"/>
              </a:solidFill>
            </a:ln>
          </c:spPr>
          <c:marker>
            <c:symbol val="none"/>
          </c:marker>
          <c:cat>
            <c:numRef>
              <c:f>'Hoja 7. TH2'!$G$50:$K$50</c:f>
              <c:numCache>
                <c:formatCode>General</c:formatCode>
                <c:ptCount val="5"/>
                <c:pt idx="0">
                  <c:v>2011</c:v>
                </c:pt>
                <c:pt idx="1">
                  <c:v>2012</c:v>
                </c:pt>
                <c:pt idx="2">
                  <c:v>2013</c:v>
                </c:pt>
                <c:pt idx="3">
                  <c:v>2014</c:v>
                </c:pt>
                <c:pt idx="4">
                  <c:v>2015</c:v>
                </c:pt>
              </c:numCache>
            </c:numRef>
          </c:cat>
          <c:val>
            <c:numRef>
              <c:f>'Hoja 7. TH2'!$G$52:$K$52</c:f>
              <c:numCache>
                <c:formatCode>0%</c:formatCode>
                <c:ptCount val="5"/>
                <c:pt idx="0">
                  <c:v>0.92</c:v>
                </c:pt>
                <c:pt idx="1">
                  <c:v>0.92</c:v>
                </c:pt>
                <c:pt idx="2">
                  <c:v>0.92</c:v>
                </c:pt>
                <c:pt idx="3">
                  <c:v>0.92</c:v>
                </c:pt>
                <c:pt idx="4">
                  <c:v>0.92</c:v>
                </c:pt>
              </c:numCache>
            </c:numRef>
          </c:val>
          <c:smooth val="0"/>
          <c:extLst>
            <c:ext xmlns:c16="http://schemas.microsoft.com/office/drawing/2014/chart" uri="{C3380CC4-5D6E-409C-BE32-E72D297353CC}">
              <c16:uniqueId val="{00000001-8BA0-4690-B1E6-93DCAB1435FA}"/>
            </c:ext>
          </c:extLst>
        </c:ser>
        <c:dLbls>
          <c:showLegendKey val="0"/>
          <c:showVal val="0"/>
          <c:showCatName val="0"/>
          <c:showSerName val="0"/>
          <c:showPercent val="0"/>
          <c:showBubbleSize val="0"/>
        </c:dLbls>
        <c:smooth val="0"/>
        <c:axId val="558332176"/>
        <c:axId val="558324336"/>
      </c:lineChart>
      <c:catAx>
        <c:axId val="558332176"/>
        <c:scaling>
          <c:orientation val="minMax"/>
        </c:scaling>
        <c:delete val="0"/>
        <c:axPos val="b"/>
        <c:numFmt formatCode="General" sourceLinked="1"/>
        <c:majorTickMark val="out"/>
        <c:minorTickMark val="none"/>
        <c:tickLblPos val="nextTo"/>
        <c:txPr>
          <a:bodyPr/>
          <a:lstStyle/>
          <a:p>
            <a:pPr>
              <a:defRPr lang="he-IL" sz="1800"/>
            </a:pPr>
            <a:endParaRPr lang="es-CO"/>
          </a:p>
        </c:txPr>
        <c:crossAx val="558324336"/>
        <c:crosses val="autoZero"/>
        <c:auto val="1"/>
        <c:lblAlgn val="ctr"/>
        <c:lblOffset val="100"/>
        <c:noMultiLvlLbl val="0"/>
      </c:catAx>
      <c:valAx>
        <c:axId val="558324336"/>
        <c:scaling>
          <c:orientation val="minMax"/>
        </c:scaling>
        <c:delete val="0"/>
        <c:axPos val="l"/>
        <c:majorGridlines/>
        <c:numFmt formatCode="0.0%" sourceLinked="1"/>
        <c:majorTickMark val="out"/>
        <c:minorTickMark val="none"/>
        <c:tickLblPos val="nextTo"/>
        <c:txPr>
          <a:bodyPr/>
          <a:lstStyle/>
          <a:p>
            <a:pPr>
              <a:defRPr lang="he-IL" sz="1800"/>
            </a:pPr>
            <a:endParaRPr lang="es-CO"/>
          </a:p>
        </c:txPr>
        <c:crossAx val="558332176"/>
        <c:crosses val="autoZero"/>
        <c:crossBetween val="between"/>
      </c:valAx>
    </c:plotArea>
    <c:legend>
      <c:legendPos val="r"/>
      <c:legendEntry>
        <c:idx val="0"/>
        <c:txPr>
          <a:bodyPr/>
          <a:lstStyle/>
          <a:p>
            <a:pPr>
              <a:defRPr sz="1400"/>
            </a:pPr>
            <a:endParaRPr lang="es-CO"/>
          </a:p>
        </c:txPr>
      </c:legendEntry>
      <c:layout>
        <c:manualLayout>
          <c:xMode val="edge"/>
          <c:yMode val="edge"/>
          <c:x val="0.7716974802073594"/>
          <c:y val="1.5587634878973461E-3"/>
          <c:w val="0.22410518391326134"/>
          <c:h val="0.74822910273916132"/>
        </c:manualLayout>
      </c:layout>
      <c:overlay val="0"/>
      <c:txPr>
        <a:bodyPr/>
        <a:lstStyle/>
        <a:p>
          <a:pPr>
            <a:defRPr lang="he-IL" sz="1400"/>
          </a:pPr>
          <a:endParaRPr lang="es-CO"/>
        </a:p>
      </c:txPr>
    </c:legend>
    <c:plotVisOnly val="1"/>
    <c:dispBlanksAs val="gap"/>
    <c:showDLblsOverMax val="0"/>
  </c:chart>
  <c:printSettings>
    <c:headerFooter/>
    <c:pageMargins b="0.75000000000000799" l="0.70000000000000062" r="0.70000000000000062" t="0.75000000000000799" header="0.30000000000000032" footer="0.30000000000000032"/>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1"/>
          <c:order val="1"/>
          <c:tx>
            <c:strRef>
              <c:f>'Hoja 7. TH2'!$H$151</c:f>
              <c:strCache>
                <c:ptCount val="1"/>
                <c:pt idx="0">
                  <c:v>Reconocimiento por antigüedad.</c:v>
                </c:pt>
              </c:strCache>
            </c:strRef>
          </c:tx>
          <c:spPr>
            <a:solidFill>
              <a:schemeClr val="accent2"/>
            </a:solidFill>
            <a:ln>
              <a:noFill/>
            </a:ln>
            <a:effectLst/>
          </c:spPr>
          <c:invertIfNegative val="0"/>
          <c:cat>
            <c:numRef>
              <c:f>'Hoja 7. TH2'!$G$152:$G$153</c:f>
              <c:numCache>
                <c:formatCode>General</c:formatCode>
                <c:ptCount val="2"/>
                <c:pt idx="0">
                  <c:v>2014</c:v>
                </c:pt>
                <c:pt idx="1">
                  <c:v>2015</c:v>
                </c:pt>
              </c:numCache>
            </c:numRef>
          </c:cat>
          <c:val>
            <c:numRef>
              <c:f>'Hoja 7. TH2'!$H$152:$H$153</c:f>
              <c:numCache>
                <c:formatCode>0%</c:formatCode>
                <c:ptCount val="2"/>
                <c:pt idx="0">
                  <c:v>0</c:v>
                </c:pt>
                <c:pt idx="1">
                  <c:v>6.3829787234042548E-2</c:v>
                </c:pt>
              </c:numCache>
            </c:numRef>
          </c:val>
          <c:extLst>
            <c:ext xmlns:c16="http://schemas.microsoft.com/office/drawing/2014/chart" uri="{C3380CC4-5D6E-409C-BE32-E72D297353CC}">
              <c16:uniqueId val="{00000000-AB38-4A27-8870-C235F19BCA70}"/>
            </c:ext>
          </c:extLst>
        </c:ser>
        <c:ser>
          <c:idx val="2"/>
          <c:order val="2"/>
          <c:tx>
            <c:strRef>
              <c:f>'Hoja 7. TH2'!$I$151</c:f>
              <c:strCache>
                <c:ptCount val="1"/>
                <c:pt idx="0">
                  <c:v>Reconocimiento por logros deportivos, culturales y/o artísticos.</c:v>
                </c:pt>
              </c:strCache>
            </c:strRef>
          </c:tx>
          <c:spPr>
            <a:solidFill>
              <a:schemeClr val="accent3"/>
            </a:solidFill>
            <a:ln>
              <a:noFill/>
            </a:ln>
            <a:effectLst/>
          </c:spPr>
          <c:invertIfNegative val="0"/>
          <c:cat>
            <c:numRef>
              <c:f>'Hoja 7. TH2'!$G$152:$G$153</c:f>
              <c:numCache>
                <c:formatCode>General</c:formatCode>
                <c:ptCount val="2"/>
                <c:pt idx="0">
                  <c:v>2014</c:v>
                </c:pt>
                <c:pt idx="1">
                  <c:v>2015</c:v>
                </c:pt>
              </c:numCache>
            </c:numRef>
          </c:cat>
          <c:val>
            <c:numRef>
              <c:f>'Hoja 7. TH2'!$I$152:$I$153</c:f>
              <c:numCache>
                <c:formatCode>0%</c:formatCode>
                <c:ptCount val="2"/>
                <c:pt idx="0">
                  <c:v>0</c:v>
                </c:pt>
                <c:pt idx="1">
                  <c:v>0</c:v>
                </c:pt>
              </c:numCache>
            </c:numRef>
          </c:val>
          <c:extLst>
            <c:ext xmlns:c16="http://schemas.microsoft.com/office/drawing/2014/chart" uri="{C3380CC4-5D6E-409C-BE32-E72D297353CC}">
              <c16:uniqueId val="{00000001-AB38-4A27-8870-C235F19BCA70}"/>
            </c:ext>
          </c:extLst>
        </c:ser>
        <c:ser>
          <c:idx val="3"/>
          <c:order val="3"/>
          <c:tx>
            <c:strRef>
              <c:f>'Hoja 7. TH2'!$J$151</c:f>
              <c:strCache>
                <c:ptCount val="1"/>
                <c:pt idx="0">
                  <c:v>Reconocimiento por desempeño laboral sobresaliente.</c:v>
                </c:pt>
              </c:strCache>
            </c:strRef>
          </c:tx>
          <c:spPr>
            <a:solidFill>
              <a:schemeClr val="accent4"/>
            </a:solidFill>
            <a:ln>
              <a:noFill/>
            </a:ln>
            <a:effectLst/>
          </c:spPr>
          <c:invertIfNegative val="0"/>
          <c:cat>
            <c:numRef>
              <c:f>'Hoja 7. TH2'!$G$152:$G$153</c:f>
              <c:numCache>
                <c:formatCode>General</c:formatCode>
                <c:ptCount val="2"/>
                <c:pt idx="0">
                  <c:v>2014</c:v>
                </c:pt>
                <c:pt idx="1">
                  <c:v>2015</c:v>
                </c:pt>
              </c:numCache>
            </c:numRef>
          </c:cat>
          <c:val>
            <c:numRef>
              <c:f>'Hoja 7. TH2'!$J$152:$J$153</c:f>
              <c:numCache>
                <c:formatCode>0%</c:formatCode>
                <c:ptCount val="2"/>
                <c:pt idx="0">
                  <c:v>0</c:v>
                </c:pt>
                <c:pt idx="1">
                  <c:v>0</c:v>
                </c:pt>
              </c:numCache>
            </c:numRef>
          </c:val>
          <c:extLst>
            <c:ext xmlns:c16="http://schemas.microsoft.com/office/drawing/2014/chart" uri="{C3380CC4-5D6E-409C-BE32-E72D297353CC}">
              <c16:uniqueId val="{00000002-AB38-4A27-8870-C235F19BCA70}"/>
            </c:ext>
          </c:extLst>
        </c:ser>
        <c:ser>
          <c:idx val="4"/>
          <c:order val="4"/>
          <c:tx>
            <c:strRef>
              <c:f>'Hoja 7. TH2'!$K$151</c:f>
              <c:strCache>
                <c:ptCount val="1"/>
                <c:pt idx="0">
                  <c:v>Reconocimiento por estudios superiores (especialización, maestría) relacionados con el objeto misional.</c:v>
                </c:pt>
              </c:strCache>
            </c:strRef>
          </c:tx>
          <c:spPr>
            <a:solidFill>
              <a:schemeClr val="accent5"/>
            </a:solidFill>
            <a:ln>
              <a:noFill/>
            </a:ln>
            <a:effectLst/>
          </c:spPr>
          <c:invertIfNegative val="0"/>
          <c:cat>
            <c:numRef>
              <c:f>'Hoja 7. TH2'!$G$152:$G$153</c:f>
              <c:numCache>
                <c:formatCode>General</c:formatCode>
                <c:ptCount val="2"/>
                <c:pt idx="0">
                  <c:v>2014</c:v>
                </c:pt>
                <c:pt idx="1">
                  <c:v>2015</c:v>
                </c:pt>
              </c:numCache>
            </c:numRef>
          </c:cat>
          <c:val>
            <c:numRef>
              <c:f>'Hoja 7. TH2'!$K$152:$K$153</c:f>
              <c:numCache>
                <c:formatCode>0%</c:formatCode>
                <c:ptCount val="2"/>
                <c:pt idx="0">
                  <c:v>0</c:v>
                </c:pt>
                <c:pt idx="1">
                  <c:v>0</c:v>
                </c:pt>
              </c:numCache>
            </c:numRef>
          </c:val>
          <c:extLst>
            <c:ext xmlns:c16="http://schemas.microsoft.com/office/drawing/2014/chart" uri="{C3380CC4-5D6E-409C-BE32-E72D297353CC}">
              <c16:uniqueId val="{00000003-AB38-4A27-8870-C235F19BCA70}"/>
            </c:ext>
          </c:extLst>
        </c:ser>
        <c:dLbls>
          <c:showLegendKey val="0"/>
          <c:showVal val="0"/>
          <c:showCatName val="0"/>
          <c:showSerName val="0"/>
          <c:showPercent val="0"/>
          <c:showBubbleSize val="0"/>
        </c:dLbls>
        <c:gapWidth val="150"/>
        <c:axId val="558325120"/>
        <c:axId val="558321200"/>
        <c:extLst>
          <c:ext xmlns:c15="http://schemas.microsoft.com/office/drawing/2012/chart" uri="{02D57815-91ED-43cb-92C2-25804820EDAC}">
            <c15:filteredBarSeries>
              <c15:ser>
                <c:idx val="0"/>
                <c:order val="0"/>
                <c:tx>
                  <c:strRef>
                    <c:extLst>
                      <c:ext uri="{02D57815-91ED-43cb-92C2-25804820EDAC}">
                        <c15:formulaRef>
                          <c15:sqref>'Hoja 7. TH2'!$G$151</c15:sqref>
                        </c15:formulaRef>
                      </c:ext>
                    </c:extLst>
                    <c:strCache>
                      <c:ptCount val="1"/>
                      <c:pt idx="0">
                        <c:v>Vigencia</c:v>
                      </c:pt>
                    </c:strCache>
                  </c:strRef>
                </c:tx>
                <c:spPr>
                  <a:solidFill>
                    <a:schemeClr val="accent1"/>
                  </a:solidFill>
                  <a:ln>
                    <a:noFill/>
                  </a:ln>
                  <a:effectLst/>
                </c:spPr>
                <c:invertIfNegative val="0"/>
                <c:cat>
                  <c:numRef>
                    <c:extLst>
                      <c:ext uri="{02D57815-91ED-43cb-92C2-25804820EDAC}">
                        <c15:formulaRef>
                          <c15:sqref>'Hoja 7. TH2'!$G$152:$G$153</c15:sqref>
                        </c15:formulaRef>
                      </c:ext>
                    </c:extLst>
                    <c:numCache>
                      <c:formatCode>General</c:formatCode>
                      <c:ptCount val="2"/>
                      <c:pt idx="0">
                        <c:v>2014</c:v>
                      </c:pt>
                      <c:pt idx="1">
                        <c:v>2015</c:v>
                      </c:pt>
                    </c:numCache>
                  </c:numRef>
                </c:cat>
                <c:val>
                  <c:numRef>
                    <c:extLst>
                      <c:ext uri="{02D57815-91ED-43cb-92C2-25804820EDAC}">
                        <c15:formulaRef>
                          <c15:sqref>'Hoja 7. TH2'!$G$152:$G$153</c15:sqref>
                        </c15:formulaRef>
                      </c:ext>
                    </c:extLst>
                    <c:numCache>
                      <c:formatCode>General</c:formatCode>
                      <c:ptCount val="2"/>
                      <c:pt idx="0">
                        <c:v>2014</c:v>
                      </c:pt>
                      <c:pt idx="1">
                        <c:v>2015</c:v>
                      </c:pt>
                    </c:numCache>
                  </c:numRef>
                </c:val>
                <c:extLst>
                  <c:ext xmlns:c16="http://schemas.microsoft.com/office/drawing/2014/chart" uri="{C3380CC4-5D6E-409C-BE32-E72D297353CC}">
                    <c16:uniqueId val="{00000005-AB38-4A27-8870-C235F19BCA70}"/>
                  </c:ext>
                </c:extLst>
              </c15:ser>
            </c15:filteredBarSeries>
          </c:ext>
        </c:extLst>
      </c:barChart>
      <c:lineChart>
        <c:grouping val="standard"/>
        <c:varyColors val="0"/>
        <c:ser>
          <c:idx val="5"/>
          <c:order val="5"/>
          <c:tx>
            <c:strRef>
              <c:f>'Hoja 7. TH2'!$A$154:$F$154</c:f>
              <c:strCache>
                <c:ptCount val="1"/>
                <c:pt idx="0">
                  <c:v>Meta </c:v>
                </c:pt>
              </c:strCache>
            </c:strRef>
          </c:tx>
          <c:spPr>
            <a:ln w="28575" cap="rnd">
              <a:solidFill>
                <a:schemeClr val="accent6"/>
              </a:solidFill>
              <a:round/>
            </a:ln>
            <a:effectLst/>
          </c:spPr>
          <c:marker>
            <c:symbol val="none"/>
          </c:marker>
          <c:val>
            <c:numRef>
              <c:f>'Hoja 7. TH2'!$H$154:$K$154</c:f>
              <c:numCache>
                <c:formatCode>0%</c:formatCode>
                <c:ptCount val="4"/>
                <c:pt idx="0">
                  <c:v>0.9</c:v>
                </c:pt>
                <c:pt idx="1">
                  <c:v>0.9</c:v>
                </c:pt>
                <c:pt idx="2">
                  <c:v>0.9</c:v>
                </c:pt>
                <c:pt idx="3">
                  <c:v>0.9</c:v>
                </c:pt>
              </c:numCache>
            </c:numRef>
          </c:val>
          <c:smooth val="0"/>
          <c:extLst>
            <c:ext xmlns:c16="http://schemas.microsoft.com/office/drawing/2014/chart" uri="{C3380CC4-5D6E-409C-BE32-E72D297353CC}">
              <c16:uniqueId val="{00000004-AB38-4A27-8870-C235F19BCA70}"/>
            </c:ext>
          </c:extLst>
        </c:ser>
        <c:dLbls>
          <c:showLegendKey val="0"/>
          <c:showVal val="0"/>
          <c:showCatName val="0"/>
          <c:showSerName val="0"/>
          <c:showPercent val="0"/>
          <c:showBubbleSize val="0"/>
        </c:dLbls>
        <c:marker val="1"/>
        <c:smooth val="0"/>
        <c:axId val="558325120"/>
        <c:axId val="558321200"/>
      </c:lineChart>
      <c:catAx>
        <c:axId val="558325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CO"/>
          </a:p>
        </c:txPr>
        <c:crossAx val="558321200"/>
        <c:crosses val="autoZero"/>
        <c:auto val="1"/>
        <c:lblAlgn val="ctr"/>
        <c:lblOffset val="100"/>
        <c:noMultiLvlLbl val="0"/>
      </c:catAx>
      <c:valAx>
        <c:axId val="55832120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CO"/>
          </a:p>
        </c:txPr>
        <c:crossAx val="5583251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000000000000011" l="0.70000000000000007" r="0.70000000000000007" t="0.75000000000000011" header="0.30000000000000004" footer="0.30000000000000004"/>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8. RI2 '!$A$34:$F$34</c:f>
              <c:strCache>
                <c:ptCount val="6"/>
                <c:pt idx="0">
                  <c:v>Porcentaje (%) de Encuestas de Satisfacción del Servicio Prestado por el Proceso de Gestión de Recursos E Infraestructura (Almacén, Contratación, Sistemas), Calificadas por Parte de los Funcionarios con Una Nota Igual o Superior a Tres Punto Cinco (3.5)</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8. RI2 '!$G$33:$N$33</c:f>
              <c:numCache>
                <c:formatCode>General</c:formatCode>
                <c:ptCount val="8"/>
                <c:pt idx="0">
                  <c:v>2009</c:v>
                </c:pt>
                <c:pt idx="1">
                  <c:v>2010</c:v>
                </c:pt>
                <c:pt idx="2">
                  <c:v>2011</c:v>
                </c:pt>
                <c:pt idx="3">
                  <c:v>2012</c:v>
                </c:pt>
                <c:pt idx="4">
                  <c:v>2013</c:v>
                </c:pt>
                <c:pt idx="5">
                  <c:v>2014</c:v>
                </c:pt>
                <c:pt idx="6">
                  <c:v>2015</c:v>
                </c:pt>
                <c:pt idx="7">
                  <c:v>2016</c:v>
                </c:pt>
              </c:numCache>
            </c:numRef>
          </c:cat>
          <c:val>
            <c:numRef>
              <c:f>'Hoja 8. RI2 '!$G$34:$N$34</c:f>
              <c:numCache>
                <c:formatCode>0%</c:formatCode>
                <c:ptCount val="8"/>
                <c:pt idx="0">
                  <c:v>0.89</c:v>
                </c:pt>
                <c:pt idx="1">
                  <c:v>0.84</c:v>
                </c:pt>
                <c:pt idx="2">
                  <c:v>0.87</c:v>
                </c:pt>
                <c:pt idx="3">
                  <c:v>0.67</c:v>
                </c:pt>
                <c:pt idx="4">
                  <c:v>0.85</c:v>
                </c:pt>
                <c:pt idx="5">
                  <c:v>0.8</c:v>
                </c:pt>
                <c:pt idx="6">
                  <c:v>0.80281690140845074</c:v>
                </c:pt>
                <c:pt idx="7">
                  <c:v>0.8</c:v>
                </c:pt>
              </c:numCache>
            </c:numRef>
          </c:val>
          <c:smooth val="0"/>
          <c:extLst>
            <c:ext xmlns:c16="http://schemas.microsoft.com/office/drawing/2014/chart" uri="{C3380CC4-5D6E-409C-BE32-E72D297353CC}">
              <c16:uniqueId val="{00000000-3908-4722-BAAA-F1265FC6E1EE}"/>
            </c:ext>
          </c:extLst>
        </c:ser>
        <c:ser>
          <c:idx val="1"/>
          <c:order val="1"/>
          <c:tx>
            <c:strRef>
              <c:f>'Hoja 8. RI2 '!$A$35:$F$35</c:f>
              <c:strCache>
                <c:ptCount val="6"/>
                <c:pt idx="0">
                  <c:v>Meta</c:v>
                </c:pt>
              </c:strCache>
            </c:strRef>
          </c:tx>
          <c:spPr>
            <a:ln w="38100">
              <a:solidFill>
                <a:srgbClr val="FF0000"/>
              </a:solidFill>
            </a:ln>
          </c:spPr>
          <c:marker>
            <c:symbol val="none"/>
          </c:marker>
          <c:cat>
            <c:numRef>
              <c:f>'Hoja 8. RI2 '!$G$33:$N$33</c:f>
              <c:numCache>
                <c:formatCode>General</c:formatCode>
                <c:ptCount val="8"/>
                <c:pt idx="0">
                  <c:v>2009</c:v>
                </c:pt>
                <c:pt idx="1">
                  <c:v>2010</c:v>
                </c:pt>
                <c:pt idx="2">
                  <c:v>2011</c:v>
                </c:pt>
                <c:pt idx="3">
                  <c:v>2012</c:v>
                </c:pt>
                <c:pt idx="4">
                  <c:v>2013</c:v>
                </c:pt>
                <c:pt idx="5">
                  <c:v>2014</c:v>
                </c:pt>
                <c:pt idx="6">
                  <c:v>2015</c:v>
                </c:pt>
                <c:pt idx="7">
                  <c:v>2016</c:v>
                </c:pt>
              </c:numCache>
            </c:numRef>
          </c:cat>
          <c:val>
            <c:numRef>
              <c:f>'Hoja 8. RI2 '!$G$35:$N$35</c:f>
              <c:numCache>
                <c:formatCode>0%</c:formatCode>
                <c:ptCount val="8"/>
                <c:pt idx="0">
                  <c:v>0.9</c:v>
                </c:pt>
                <c:pt idx="1">
                  <c:v>0.9</c:v>
                </c:pt>
                <c:pt idx="2">
                  <c:v>0.9</c:v>
                </c:pt>
                <c:pt idx="3">
                  <c:v>0.9</c:v>
                </c:pt>
                <c:pt idx="4">
                  <c:v>0.9</c:v>
                </c:pt>
                <c:pt idx="5">
                  <c:v>0.9</c:v>
                </c:pt>
                <c:pt idx="6">
                  <c:v>0.9</c:v>
                </c:pt>
                <c:pt idx="7">
                  <c:v>0.9</c:v>
                </c:pt>
              </c:numCache>
            </c:numRef>
          </c:val>
          <c:smooth val="0"/>
          <c:extLst>
            <c:ext xmlns:c16="http://schemas.microsoft.com/office/drawing/2014/chart" uri="{C3380CC4-5D6E-409C-BE32-E72D297353CC}">
              <c16:uniqueId val="{00000001-3908-4722-BAAA-F1265FC6E1EE}"/>
            </c:ext>
          </c:extLst>
        </c:ser>
        <c:dLbls>
          <c:showLegendKey val="0"/>
          <c:showVal val="0"/>
          <c:showCatName val="0"/>
          <c:showSerName val="0"/>
          <c:showPercent val="0"/>
          <c:showBubbleSize val="0"/>
        </c:dLbls>
        <c:smooth val="0"/>
        <c:axId val="193045160"/>
        <c:axId val="193049080"/>
      </c:lineChart>
      <c:catAx>
        <c:axId val="193045160"/>
        <c:scaling>
          <c:orientation val="minMax"/>
        </c:scaling>
        <c:delete val="0"/>
        <c:axPos val="b"/>
        <c:numFmt formatCode="General" sourceLinked="1"/>
        <c:majorTickMark val="out"/>
        <c:minorTickMark val="none"/>
        <c:tickLblPos val="nextTo"/>
        <c:txPr>
          <a:bodyPr/>
          <a:lstStyle/>
          <a:p>
            <a:pPr>
              <a:defRPr lang="he-IL" sz="1800"/>
            </a:pPr>
            <a:endParaRPr lang="es-CO"/>
          </a:p>
        </c:txPr>
        <c:crossAx val="193049080"/>
        <c:crosses val="autoZero"/>
        <c:auto val="1"/>
        <c:lblAlgn val="ctr"/>
        <c:lblOffset val="100"/>
        <c:noMultiLvlLbl val="0"/>
      </c:catAx>
      <c:valAx>
        <c:axId val="193049080"/>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193045160"/>
        <c:crosses val="autoZero"/>
        <c:crossBetween val="between"/>
      </c:valAx>
    </c:plotArea>
    <c:legend>
      <c:legendPos val="r"/>
      <c:legendEntry>
        <c:idx val="0"/>
        <c:txPr>
          <a:bodyPr/>
          <a:lstStyle/>
          <a:p>
            <a:pPr>
              <a:defRPr sz="1200"/>
            </a:pPr>
            <a:endParaRPr lang="es-CO"/>
          </a:p>
        </c:txPr>
      </c:legendEntry>
      <c:legendEntry>
        <c:idx val="1"/>
        <c:txPr>
          <a:bodyPr/>
          <a:lstStyle/>
          <a:p>
            <a:pPr>
              <a:defRPr sz="1000"/>
            </a:pPr>
            <a:endParaRPr lang="es-CO"/>
          </a:p>
        </c:txPr>
      </c:legendEntry>
      <c:layout>
        <c:manualLayout>
          <c:xMode val="edge"/>
          <c:yMode val="edge"/>
          <c:x val="0.67608512700268097"/>
          <c:y val="1.7049490103406444E-2"/>
          <c:w val="0.32267609234885519"/>
          <c:h val="0.6542365992891076"/>
        </c:manualLayout>
      </c:layout>
      <c:overlay val="0"/>
      <c:txPr>
        <a:bodyPr/>
        <a:lstStyle/>
        <a:p>
          <a:pPr>
            <a:defRPr lang="he-IL" sz="1200"/>
          </a:pPr>
          <a:endParaRPr lang="es-CO"/>
        </a:p>
      </c:txPr>
    </c:legend>
    <c:plotVisOnly val="1"/>
    <c:dispBlanksAs val="gap"/>
    <c:showDLblsOverMax val="0"/>
  </c:chart>
  <c:printSettings>
    <c:headerFooter/>
    <c:pageMargins b="0.75000000000000844" l="0.70000000000000062" r="0.70000000000000062" t="0.75000000000000844" header="0.30000000000000032" footer="0.30000000000000032"/>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8. RI2 '!$A$58:$F$58</c:f>
              <c:strCache>
                <c:ptCount val="6"/>
                <c:pt idx="0">
                  <c:v>Porcentaje (%) de Dismininución de Consumo de Papel</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8. RI2 '!$G$57:$K$57</c:f>
              <c:numCache>
                <c:formatCode>General</c:formatCode>
                <c:ptCount val="5"/>
                <c:pt idx="0">
                  <c:v>2012</c:v>
                </c:pt>
                <c:pt idx="1">
                  <c:v>2013</c:v>
                </c:pt>
                <c:pt idx="2">
                  <c:v>2014</c:v>
                </c:pt>
                <c:pt idx="3">
                  <c:v>2015</c:v>
                </c:pt>
                <c:pt idx="4">
                  <c:v>2016</c:v>
                </c:pt>
              </c:numCache>
            </c:numRef>
          </c:cat>
          <c:val>
            <c:numRef>
              <c:f>'Hoja 8. RI2 '!$G$58:$K$58</c:f>
              <c:numCache>
                <c:formatCode>0%</c:formatCode>
                <c:ptCount val="5"/>
                <c:pt idx="0">
                  <c:v>-0.44</c:v>
                </c:pt>
                <c:pt idx="1">
                  <c:v>-0.12</c:v>
                </c:pt>
                <c:pt idx="2">
                  <c:v>-7.1608040201004974E-2</c:v>
                </c:pt>
                <c:pt idx="3">
                  <c:v>-0.12584573748308525</c:v>
                </c:pt>
                <c:pt idx="4">
                  <c:v>0.5108359133126934</c:v>
                </c:pt>
              </c:numCache>
            </c:numRef>
          </c:val>
          <c:smooth val="0"/>
          <c:extLst>
            <c:ext xmlns:c16="http://schemas.microsoft.com/office/drawing/2014/chart" uri="{C3380CC4-5D6E-409C-BE32-E72D297353CC}">
              <c16:uniqueId val="{00000000-B3B5-4344-8B1B-531AC61E3116}"/>
            </c:ext>
          </c:extLst>
        </c:ser>
        <c:ser>
          <c:idx val="1"/>
          <c:order val="1"/>
          <c:tx>
            <c:strRef>
              <c:f>'Hoja 8. RI2 '!$A$59:$F$59</c:f>
              <c:strCache>
                <c:ptCount val="6"/>
                <c:pt idx="0">
                  <c:v>Meta</c:v>
                </c:pt>
              </c:strCache>
            </c:strRef>
          </c:tx>
          <c:spPr>
            <a:ln w="38100">
              <a:solidFill>
                <a:srgbClr val="FF0000"/>
              </a:solidFill>
            </a:ln>
          </c:spPr>
          <c:marker>
            <c:symbol val="none"/>
          </c:marker>
          <c:cat>
            <c:numRef>
              <c:f>'Hoja 8. RI2 '!$G$57:$K$57</c:f>
              <c:numCache>
                <c:formatCode>General</c:formatCode>
                <c:ptCount val="5"/>
                <c:pt idx="0">
                  <c:v>2012</c:v>
                </c:pt>
                <c:pt idx="1">
                  <c:v>2013</c:v>
                </c:pt>
                <c:pt idx="2">
                  <c:v>2014</c:v>
                </c:pt>
                <c:pt idx="3">
                  <c:v>2015</c:v>
                </c:pt>
                <c:pt idx="4">
                  <c:v>2016</c:v>
                </c:pt>
              </c:numCache>
            </c:numRef>
          </c:cat>
          <c:val>
            <c:numRef>
              <c:f>'Hoja 8. RI2 '!$G$59:$K$59</c:f>
              <c:numCache>
                <c:formatCode>0%</c:formatCode>
                <c:ptCount val="5"/>
                <c:pt idx="0">
                  <c:v>-0.02</c:v>
                </c:pt>
                <c:pt idx="1">
                  <c:v>-0.02</c:v>
                </c:pt>
                <c:pt idx="2">
                  <c:v>-0.02</c:v>
                </c:pt>
                <c:pt idx="3">
                  <c:v>-0.02</c:v>
                </c:pt>
                <c:pt idx="4">
                  <c:v>-0.02</c:v>
                </c:pt>
              </c:numCache>
            </c:numRef>
          </c:val>
          <c:smooth val="0"/>
          <c:extLst>
            <c:ext xmlns:c16="http://schemas.microsoft.com/office/drawing/2014/chart" uri="{C3380CC4-5D6E-409C-BE32-E72D297353CC}">
              <c16:uniqueId val="{00000001-B3B5-4344-8B1B-531AC61E3116}"/>
            </c:ext>
          </c:extLst>
        </c:ser>
        <c:dLbls>
          <c:showLegendKey val="0"/>
          <c:showVal val="0"/>
          <c:showCatName val="0"/>
          <c:showSerName val="0"/>
          <c:showPercent val="0"/>
          <c:showBubbleSize val="0"/>
        </c:dLbls>
        <c:smooth val="0"/>
        <c:axId val="193040848"/>
        <c:axId val="193041240"/>
      </c:lineChart>
      <c:catAx>
        <c:axId val="193040848"/>
        <c:scaling>
          <c:orientation val="minMax"/>
        </c:scaling>
        <c:delete val="0"/>
        <c:axPos val="b"/>
        <c:numFmt formatCode="General" sourceLinked="1"/>
        <c:majorTickMark val="out"/>
        <c:minorTickMark val="none"/>
        <c:tickLblPos val="nextTo"/>
        <c:txPr>
          <a:bodyPr/>
          <a:lstStyle/>
          <a:p>
            <a:pPr>
              <a:defRPr lang="he-IL" sz="1800"/>
            </a:pPr>
            <a:endParaRPr lang="es-CO"/>
          </a:p>
        </c:txPr>
        <c:crossAx val="193041240"/>
        <c:crosses val="autoZero"/>
        <c:auto val="1"/>
        <c:lblAlgn val="ctr"/>
        <c:lblOffset val="100"/>
        <c:noMultiLvlLbl val="0"/>
      </c:catAx>
      <c:valAx>
        <c:axId val="193041240"/>
        <c:scaling>
          <c:orientation val="minMax"/>
          <c:min val="-0.6000000000000002"/>
        </c:scaling>
        <c:delete val="0"/>
        <c:axPos val="l"/>
        <c:majorGridlines/>
        <c:numFmt formatCode="0%" sourceLinked="1"/>
        <c:majorTickMark val="out"/>
        <c:minorTickMark val="none"/>
        <c:tickLblPos val="nextTo"/>
        <c:txPr>
          <a:bodyPr/>
          <a:lstStyle/>
          <a:p>
            <a:pPr>
              <a:defRPr lang="he-IL" sz="1800"/>
            </a:pPr>
            <a:endParaRPr lang="es-CO"/>
          </a:p>
        </c:txPr>
        <c:crossAx val="193040848"/>
        <c:crosses val="autoZero"/>
        <c:crossBetween val="between"/>
        <c:majorUnit val="0.1"/>
        <c:minorUnit val="4.0000000000000018E-3"/>
      </c:valAx>
    </c:plotArea>
    <c:legend>
      <c:legendPos val="r"/>
      <c:legendEntry>
        <c:idx val="0"/>
        <c:txPr>
          <a:bodyPr/>
          <a:lstStyle/>
          <a:p>
            <a:pPr>
              <a:defRPr sz="1400"/>
            </a:pPr>
            <a:endParaRPr lang="es-CO"/>
          </a:p>
        </c:txPr>
      </c:legendEntry>
      <c:layout>
        <c:manualLayout>
          <c:xMode val="edge"/>
          <c:yMode val="edge"/>
          <c:x val="0.65833333333333965"/>
          <c:y val="1.5587634878973461E-3"/>
          <c:w val="0.33746929348117038"/>
          <c:h val="0.41100966883401824"/>
        </c:manualLayout>
      </c:layout>
      <c:overlay val="0"/>
      <c:txPr>
        <a:bodyPr/>
        <a:lstStyle/>
        <a:p>
          <a:pPr>
            <a:defRPr lang="he-IL" sz="1400"/>
          </a:pPr>
          <a:endParaRPr lang="es-CO"/>
        </a:p>
      </c:txPr>
    </c:legend>
    <c:plotVisOnly val="1"/>
    <c:dispBlanksAs val="gap"/>
    <c:showDLblsOverMax val="0"/>
  </c:chart>
  <c:printSettings>
    <c:headerFooter/>
    <c:pageMargins b="0.75000000000000866" l="0.70000000000000062" r="0.70000000000000062" t="0.75000000000000866" header="0.30000000000000032" footer="0.30000000000000032"/>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8256561519651791E-2"/>
          <c:y val="4.0737157545927397E-2"/>
          <c:w val="0.65856424544600367"/>
          <c:h val="0.91852568490814523"/>
        </c:manualLayout>
      </c:layout>
      <c:lineChart>
        <c:grouping val="standard"/>
        <c:varyColors val="0"/>
        <c:ser>
          <c:idx val="0"/>
          <c:order val="0"/>
          <c:tx>
            <c:strRef>
              <c:f>'Hoja 8. RI2 '!$A$95:$F$95</c:f>
              <c:strCache>
                <c:ptCount val="6"/>
                <c:pt idx="0">
                  <c:v>Porcentaje (%) de Dismininución de Consumo de Agua</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8. RI2 '!$G$94:$K$94</c:f>
              <c:numCache>
                <c:formatCode>General</c:formatCode>
                <c:ptCount val="5"/>
                <c:pt idx="0">
                  <c:v>2012</c:v>
                </c:pt>
                <c:pt idx="1">
                  <c:v>2013</c:v>
                </c:pt>
                <c:pt idx="2">
                  <c:v>2014</c:v>
                </c:pt>
                <c:pt idx="3">
                  <c:v>2015</c:v>
                </c:pt>
                <c:pt idx="4">
                  <c:v>2016</c:v>
                </c:pt>
              </c:numCache>
            </c:numRef>
          </c:cat>
          <c:val>
            <c:numRef>
              <c:f>'Hoja 8. RI2 '!$G$95:$K$95</c:f>
              <c:numCache>
                <c:formatCode>0%</c:formatCode>
                <c:ptCount val="5"/>
                <c:pt idx="0">
                  <c:v>0.57999999999999996</c:v>
                </c:pt>
                <c:pt idx="1">
                  <c:v>-0.34</c:v>
                </c:pt>
                <c:pt idx="2">
                  <c:v>0.72428571428571442</c:v>
                </c:pt>
                <c:pt idx="3">
                  <c:v>0.71499585749792871</c:v>
                </c:pt>
                <c:pt idx="4">
                  <c:v>-0.40338164251207731</c:v>
                </c:pt>
              </c:numCache>
            </c:numRef>
          </c:val>
          <c:smooth val="0"/>
          <c:extLst>
            <c:ext xmlns:c16="http://schemas.microsoft.com/office/drawing/2014/chart" uri="{C3380CC4-5D6E-409C-BE32-E72D297353CC}">
              <c16:uniqueId val="{00000000-9CC4-4EE7-A4EB-A0FDD6AF0CE1}"/>
            </c:ext>
          </c:extLst>
        </c:ser>
        <c:ser>
          <c:idx val="1"/>
          <c:order val="1"/>
          <c:tx>
            <c:strRef>
              <c:f>'Hoja 8. RI2 '!$A$96:$F$96</c:f>
              <c:strCache>
                <c:ptCount val="6"/>
                <c:pt idx="0">
                  <c:v>Meta</c:v>
                </c:pt>
              </c:strCache>
            </c:strRef>
          </c:tx>
          <c:spPr>
            <a:ln w="38100">
              <a:solidFill>
                <a:srgbClr val="FF0000"/>
              </a:solidFill>
            </a:ln>
          </c:spPr>
          <c:marker>
            <c:symbol val="none"/>
          </c:marker>
          <c:cat>
            <c:numRef>
              <c:f>'Hoja 8. RI2 '!$G$94:$K$94</c:f>
              <c:numCache>
                <c:formatCode>General</c:formatCode>
                <c:ptCount val="5"/>
                <c:pt idx="0">
                  <c:v>2012</c:v>
                </c:pt>
                <c:pt idx="1">
                  <c:v>2013</c:v>
                </c:pt>
                <c:pt idx="2">
                  <c:v>2014</c:v>
                </c:pt>
                <c:pt idx="3">
                  <c:v>2015</c:v>
                </c:pt>
                <c:pt idx="4">
                  <c:v>2016</c:v>
                </c:pt>
              </c:numCache>
            </c:numRef>
          </c:cat>
          <c:val>
            <c:numRef>
              <c:f>'Hoja 8. RI2 '!$G$96:$K$96</c:f>
              <c:numCache>
                <c:formatCode>0%</c:formatCode>
                <c:ptCount val="5"/>
                <c:pt idx="0">
                  <c:v>-0.01</c:v>
                </c:pt>
                <c:pt idx="1">
                  <c:v>-0.01</c:v>
                </c:pt>
                <c:pt idx="2">
                  <c:v>-0.01</c:v>
                </c:pt>
                <c:pt idx="3">
                  <c:v>-0.01</c:v>
                </c:pt>
                <c:pt idx="4">
                  <c:v>-0.01</c:v>
                </c:pt>
              </c:numCache>
            </c:numRef>
          </c:val>
          <c:smooth val="0"/>
          <c:extLst>
            <c:ext xmlns:c16="http://schemas.microsoft.com/office/drawing/2014/chart" uri="{C3380CC4-5D6E-409C-BE32-E72D297353CC}">
              <c16:uniqueId val="{00000001-9CC4-4EE7-A4EB-A0FDD6AF0CE1}"/>
            </c:ext>
          </c:extLst>
        </c:ser>
        <c:dLbls>
          <c:showLegendKey val="0"/>
          <c:showVal val="0"/>
          <c:showCatName val="0"/>
          <c:showSerName val="0"/>
          <c:showPercent val="0"/>
          <c:showBubbleSize val="0"/>
        </c:dLbls>
        <c:smooth val="0"/>
        <c:axId val="193045552"/>
        <c:axId val="193049472"/>
      </c:lineChart>
      <c:catAx>
        <c:axId val="193045552"/>
        <c:scaling>
          <c:orientation val="minMax"/>
        </c:scaling>
        <c:delete val="0"/>
        <c:axPos val="b"/>
        <c:numFmt formatCode="General" sourceLinked="1"/>
        <c:majorTickMark val="out"/>
        <c:minorTickMark val="none"/>
        <c:tickLblPos val="nextTo"/>
        <c:txPr>
          <a:bodyPr/>
          <a:lstStyle/>
          <a:p>
            <a:pPr>
              <a:defRPr lang="he-IL" sz="1800"/>
            </a:pPr>
            <a:endParaRPr lang="es-CO"/>
          </a:p>
        </c:txPr>
        <c:crossAx val="193049472"/>
        <c:crosses val="autoZero"/>
        <c:auto val="1"/>
        <c:lblAlgn val="ctr"/>
        <c:lblOffset val="100"/>
        <c:noMultiLvlLbl val="0"/>
      </c:catAx>
      <c:valAx>
        <c:axId val="193049472"/>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193045552"/>
        <c:crosses val="autoZero"/>
        <c:crossBetween val="between"/>
      </c:valAx>
    </c:plotArea>
    <c:legend>
      <c:legendPos val="r"/>
      <c:legendEntry>
        <c:idx val="0"/>
        <c:txPr>
          <a:bodyPr/>
          <a:lstStyle/>
          <a:p>
            <a:pPr>
              <a:defRPr sz="1400"/>
            </a:pPr>
            <a:endParaRPr lang="es-CO"/>
          </a:p>
        </c:txPr>
      </c:legendEntry>
      <c:layout>
        <c:manualLayout>
          <c:xMode val="edge"/>
          <c:yMode val="edge"/>
          <c:x val="0.73356970202931471"/>
          <c:y val="1.5587634878973461E-3"/>
          <c:w val="0.26223288151623203"/>
          <c:h val="0.57642314447536158"/>
        </c:manualLayout>
      </c:layout>
      <c:overlay val="0"/>
      <c:txPr>
        <a:bodyPr/>
        <a:lstStyle/>
        <a:p>
          <a:pPr>
            <a:defRPr lang="he-IL" sz="1400"/>
          </a:pPr>
          <a:endParaRPr lang="es-CO"/>
        </a:p>
      </c:txPr>
    </c:legend>
    <c:plotVisOnly val="1"/>
    <c:dispBlanksAs val="gap"/>
    <c:showDLblsOverMax val="0"/>
  </c:chart>
  <c:printSettings>
    <c:headerFooter/>
    <c:pageMargins b="0.75000000000000888" l="0.70000000000000062" r="0.70000000000000062" t="0.75000000000000888" header="0.30000000000000032" footer="0.30000000000000032"/>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8648881873829743E-2"/>
          <c:y val="4.1804786772753878E-2"/>
          <c:w val="0.62753676216647081"/>
          <c:h val="0.91639042645449242"/>
        </c:manualLayout>
      </c:layout>
      <c:lineChart>
        <c:grouping val="standard"/>
        <c:varyColors val="0"/>
        <c:ser>
          <c:idx val="0"/>
          <c:order val="0"/>
          <c:tx>
            <c:strRef>
              <c:f>'Hoja 8. RI2 '!$A$115:$F$115</c:f>
              <c:strCache>
                <c:ptCount val="6"/>
                <c:pt idx="0">
                  <c:v>Porcentaje (%) de Disminución de Consumo de Energía</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8. RI2 '!$G$114:$L$114</c:f>
              <c:numCache>
                <c:formatCode>General</c:formatCode>
                <c:ptCount val="6"/>
                <c:pt idx="0">
                  <c:v>2012</c:v>
                </c:pt>
                <c:pt idx="1">
                  <c:v>2013</c:v>
                </c:pt>
                <c:pt idx="2">
                  <c:v>2014</c:v>
                </c:pt>
                <c:pt idx="3">
                  <c:v>2014</c:v>
                </c:pt>
                <c:pt idx="4">
                  <c:v>2015</c:v>
                </c:pt>
                <c:pt idx="5">
                  <c:v>2016</c:v>
                </c:pt>
              </c:numCache>
            </c:numRef>
          </c:cat>
          <c:val>
            <c:numRef>
              <c:f>'Hoja 8. RI2 '!$G$115:$L$115</c:f>
              <c:numCache>
                <c:formatCode>0%</c:formatCode>
                <c:ptCount val="6"/>
                <c:pt idx="0">
                  <c:v>0.15</c:v>
                </c:pt>
                <c:pt idx="1">
                  <c:v>-0.37</c:v>
                </c:pt>
                <c:pt idx="2">
                  <c:v>-0.02</c:v>
                </c:pt>
                <c:pt idx="3">
                  <c:v>0.29385849768647665</c:v>
                </c:pt>
                <c:pt idx="4">
                  <c:v>-5.6571830753720409E-2</c:v>
                </c:pt>
                <c:pt idx="5">
                  <c:v>-0.23142167767778532</c:v>
                </c:pt>
              </c:numCache>
            </c:numRef>
          </c:val>
          <c:smooth val="0"/>
          <c:extLst>
            <c:ext xmlns:c16="http://schemas.microsoft.com/office/drawing/2014/chart" uri="{C3380CC4-5D6E-409C-BE32-E72D297353CC}">
              <c16:uniqueId val="{00000000-5E44-47DB-9D1A-4D0D73B708B9}"/>
            </c:ext>
          </c:extLst>
        </c:ser>
        <c:ser>
          <c:idx val="1"/>
          <c:order val="1"/>
          <c:tx>
            <c:strRef>
              <c:f>'Hoja 8. RI2 '!$A$116:$F$116</c:f>
              <c:strCache>
                <c:ptCount val="6"/>
                <c:pt idx="0">
                  <c:v>Meta</c:v>
                </c:pt>
              </c:strCache>
            </c:strRef>
          </c:tx>
          <c:spPr>
            <a:ln w="38100">
              <a:solidFill>
                <a:srgbClr val="FF0000"/>
              </a:solidFill>
            </a:ln>
          </c:spPr>
          <c:marker>
            <c:symbol val="none"/>
          </c:marker>
          <c:cat>
            <c:numRef>
              <c:f>'Hoja 8. RI2 '!$G$114:$L$114</c:f>
              <c:numCache>
                <c:formatCode>General</c:formatCode>
                <c:ptCount val="6"/>
                <c:pt idx="0">
                  <c:v>2012</c:v>
                </c:pt>
                <c:pt idx="1">
                  <c:v>2013</c:v>
                </c:pt>
                <c:pt idx="2">
                  <c:v>2014</c:v>
                </c:pt>
                <c:pt idx="3">
                  <c:v>2014</c:v>
                </c:pt>
                <c:pt idx="4">
                  <c:v>2015</c:v>
                </c:pt>
                <c:pt idx="5">
                  <c:v>2016</c:v>
                </c:pt>
              </c:numCache>
            </c:numRef>
          </c:cat>
          <c:val>
            <c:numRef>
              <c:f>'Hoja 8. RI2 '!$G$116:$L$116</c:f>
              <c:numCache>
                <c:formatCode>0%</c:formatCode>
                <c:ptCount val="6"/>
                <c:pt idx="0">
                  <c:v>-0.01</c:v>
                </c:pt>
                <c:pt idx="1">
                  <c:v>-0.01</c:v>
                </c:pt>
                <c:pt idx="2">
                  <c:v>-0.01</c:v>
                </c:pt>
                <c:pt idx="3">
                  <c:v>-0.01</c:v>
                </c:pt>
                <c:pt idx="4">
                  <c:v>-0.01</c:v>
                </c:pt>
                <c:pt idx="5">
                  <c:v>-0.01</c:v>
                </c:pt>
              </c:numCache>
            </c:numRef>
          </c:val>
          <c:smooth val="0"/>
          <c:extLst>
            <c:ext xmlns:c16="http://schemas.microsoft.com/office/drawing/2014/chart" uri="{C3380CC4-5D6E-409C-BE32-E72D297353CC}">
              <c16:uniqueId val="{00000001-5E44-47DB-9D1A-4D0D73B708B9}"/>
            </c:ext>
          </c:extLst>
        </c:ser>
        <c:dLbls>
          <c:showLegendKey val="0"/>
          <c:showVal val="0"/>
          <c:showCatName val="0"/>
          <c:showSerName val="0"/>
          <c:showPercent val="0"/>
          <c:showBubbleSize val="0"/>
        </c:dLbls>
        <c:smooth val="0"/>
        <c:axId val="193047512"/>
        <c:axId val="193043200"/>
      </c:lineChart>
      <c:catAx>
        <c:axId val="193047512"/>
        <c:scaling>
          <c:orientation val="minMax"/>
        </c:scaling>
        <c:delete val="0"/>
        <c:axPos val="b"/>
        <c:numFmt formatCode="General" sourceLinked="1"/>
        <c:majorTickMark val="out"/>
        <c:minorTickMark val="none"/>
        <c:tickLblPos val="nextTo"/>
        <c:txPr>
          <a:bodyPr/>
          <a:lstStyle/>
          <a:p>
            <a:pPr>
              <a:defRPr lang="he-IL" sz="1800"/>
            </a:pPr>
            <a:endParaRPr lang="es-CO"/>
          </a:p>
        </c:txPr>
        <c:crossAx val="193043200"/>
        <c:crosses val="autoZero"/>
        <c:auto val="1"/>
        <c:lblAlgn val="ctr"/>
        <c:lblOffset val="100"/>
        <c:noMultiLvlLbl val="0"/>
      </c:catAx>
      <c:valAx>
        <c:axId val="193043200"/>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193047512"/>
        <c:crosses val="autoZero"/>
        <c:crossBetween val="between"/>
      </c:valAx>
    </c:plotArea>
    <c:legend>
      <c:legendPos val="r"/>
      <c:legendEntry>
        <c:idx val="0"/>
        <c:txPr>
          <a:bodyPr/>
          <a:lstStyle/>
          <a:p>
            <a:pPr>
              <a:defRPr sz="1400"/>
            </a:pPr>
            <a:endParaRPr lang="es-CO"/>
          </a:p>
        </c:txPr>
      </c:legendEntry>
      <c:layout>
        <c:manualLayout>
          <c:xMode val="edge"/>
          <c:yMode val="edge"/>
          <c:x val="0.72797700276101263"/>
          <c:y val="1.5587634878973461E-3"/>
          <c:w val="0.25710554760086846"/>
          <c:h val="0.48606354841482979"/>
        </c:manualLayout>
      </c:layout>
      <c:overlay val="0"/>
      <c:txPr>
        <a:bodyPr/>
        <a:lstStyle/>
        <a:p>
          <a:pPr>
            <a:defRPr lang="he-IL" sz="1400"/>
          </a:pPr>
          <a:endParaRPr lang="es-CO"/>
        </a:p>
      </c:txPr>
    </c:legend>
    <c:plotVisOnly val="1"/>
    <c:dispBlanksAs val="gap"/>
    <c:showDLblsOverMax val="0"/>
  </c:chart>
  <c:printSettings>
    <c:headerFooter/>
    <c:pageMargins b="0.7500000000000091" l="0.70000000000000062" r="0.70000000000000062" t="0.7500000000000091" header="0.30000000000000032" footer="0.30000000000000032"/>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8. RI 2015'!$A$30:$F$30</c:f>
              <c:strCache>
                <c:ptCount val="6"/>
                <c:pt idx="0">
                  <c:v>Porcentaje (%) de Encuestas de Satisfacción del Servicio Prestado por el Proceso de Gestión de Recursos E Infraestructura (Almacén, Contratación, Sistemas), Calificadas por Parte de los Funcionarios con Una Nota Igual o Superior a Tres Punto Cinco (3.5)</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8. RI 2015'!$G$29:$M$29</c:f>
              <c:numCache>
                <c:formatCode>General</c:formatCode>
                <c:ptCount val="7"/>
                <c:pt idx="0">
                  <c:v>2009</c:v>
                </c:pt>
                <c:pt idx="1">
                  <c:v>2010</c:v>
                </c:pt>
                <c:pt idx="2">
                  <c:v>2011</c:v>
                </c:pt>
                <c:pt idx="3">
                  <c:v>2012</c:v>
                </c:pt>
                <c:pt idx="4">
                  <c:v>2013</c:v>
                </c:pt>
                <c:pt idx="5">
                  <c:v>2014</c:v>
                </c:pt>
                <c:pt idx="6">
                  <c:v>2015</c:v>
                </c:pt>
              </c:numCache>
            </c:numRef>
          </c:cat>
          <c:val>
            <c:numRef>
              <c:f>'Hoja 8. RI 2015'!$G$30:$M$30</c:f>
              <c:numCache>
                <c:formatCode>0%</c:formatCode>
                <c:ptCount val="7"/>
                <c:pt idx="0">
                  <c:v>0.89</c:v>
                </c:pt>
                <c:pt idx="1">
                  <c:v>0.84</c:v>
                </c:pt>
                <c:pt idx="2">
                  <c:v>0.87</c:v>
                </c:pt>
                <c:pt idx="3">
                  <c:v>0.67</c:v>
                </c:pt>
                <c:pt idx="4">
                  <c:v>0.85</c:v>
                </c:pt>
                <c:pt idx="5">
                  <c:v>0.8</c:v>
                </c:pt>
                <c:pt idx="6">
                  <c:v>0.87804878048780488</c:v>
                </c:pt>
              </c:numCache>
            </c:numRef>
          </c:val>
          <c:smooth val="0"/>
          <c:extLst>
            <c:ext xmlns:c16="http://schemas.microsoft.com/office/drawing/2014/chart" uri="{C3380CC4-5D6E-409C-BE32-E72D297353CC}">
              <c16:uniqueId val="{00000000-963F-4C1D-A03E-70A0E38B9273}"/>
            </c:ext>
          </c:extLst>
        </c:ser>
        <c:ser>
          <c:idx val="1"/>
          <c:order val="1"/>
          <c:tx>
            <c:strRef>
              <c:f>'Hoja 8. RI 2015'!$A$31:$F$31</c:f>
              <c:strCache>
                <c:ptCount val="6"/>
                <c:pt idx="0">
                  <c:v>Meta</c:v>
                </c:pt>
              </c:strCache>
            </c:strRef>
          </c:tx>
          <c:spPr>
            <a:ln w="38100">
              <a:solidFill>
                <a:srgbClr val="FF0000"/>
              </a:solidFill>
            </a:ln>
          </c:spPr>
          <c:marker>
            <c:symbol val="none"/>
          </c:marker>
          <c:cat>
            <c:numRef>
              <c:f>'Hoja 8. RI 2015'!$G$29:$M$29</c:f>
              <c:numCache>
                <c:formatCode>General</c:formatCode>
                <c:ptCount val="7"/>
                <c:pt idx="0">
                  <c:v>2009</c:v>
                </c:pt>
                <c:pt idx="1">
                  <c:v>2010</c:v>
                </c:pt>
                <c:pt idx="2">
                  <c:v>2011</c:v>
                </c:pt>
                <c:pt idx="3">
                  <c:v>2012</c:v>
                </c:pt>
                <c:pt idx="4">
                  <c:v>2013</c:v>
                </c:pt>
                <c:pt idx="5">
                  <c:v>2014</c:v>
                </c:pt>
                <c:pt idx="6">
                  <c:v>2015</c:v>
                </c:pt>
              </c:numCache>
            </c:numRef>
          </c:cat>
          <c:val>
            <c:numRef>
              <c:f>'Hoja 8. RI 2015'!$G$31:$M$31</c:f>
              <c:numCache>
                <c:formatCode>0%</c:formatCode>
                <c:ptCount val="7"/>
                <c:pt idx="0">
                  <c:v>0.9</c:v>
                </c:pt>
                <c:pt idx="1">
                  <c:v>0.9</c:v>
                </c:pt>
                <c:pt idx="2">
                  <c:v>0.9</c:v>
                </c:pt>
                <c:pt idx="3">
                  <c:v>0.9</c:v>
                </c:pt>
                <c:pt idx="4">
                  <c:v>0.9</c:v>
                </c:pt>
                <c:pt idx="5">
                  <c:v>0.9</c:v>
                </c:pt>
                <c:pt idx="6">
                  <c:v>0.9</c:v>
                </c:pt>
              </c:numCache>
            </c:numRef>
          </c:val>
          <c:smooth val="0"/>
          <c:extLst>
            <c:ext xmlns:c16="http://schemas.microsoft.com/office/drawing/2014/chart" uri="{C3380CC4-5D6E-409C-BE32-E72D297353CC}">
              <c16:uniqueId val="{00000001-963F-4C1D-A03E-70A0E38B9273}"/>
            </c:ext>
          </c:extLst>
        </c:ser>
        <c:dLbls>
          <c:showLegendKey val="0"/>
          <c:showVal val="0"/>
          <c:showCatName val="0"/>
          <c:showSerName val="0"/>
          <c:showPercent val="0"/>
          <c:showBubbleSize val="0"/>
        </c:dLbls>
        <c:smooth val="0"/>
        <c:axId val="193051432"/>
        <c:axId val="193044376"/>
      </c:lineChart>
      <c:catAx>
        <c:axId val="193051432"/>
        <c:scaling>
          <c:orientation val="minMax"/>
        </c:scaling>
        <c:delete val="0"/>
        <c:axPos val="b"/>
        <c:numFmt formatCode="General" sourceLinked="1"/>
        <c:majorTickMark val="out"/>
        <c:minorTickMark val="none"/>
        <c:tickLblPos val="nextTo"/>
        <c:txPr>
          <a:bodyPr/>
          <a:lstStyle/>
          <a:p>
            <a:pPr>
              <a:defRPr lang="he-IL" sz="1800"/>
            </a:pPr>
            <a:endParaRPr lang="es-CO"/>
          </a:p>
        </c:txPr>
        <c:crossAx val="193044376"/>
        <c:crosses val="autoZero"/>
        <c:auto val="1"/>
        <c:lblAlgn val="ctr"/>
        <c:lblOffset val="100"/>
        <c:noMultiLvlLbl val="0"/>
      </c:catAx>
      <c:valAx>
        <c:axId val="193044376"/>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193051432"/>
        <c:crosses val="autoZero"/>
        <c:crossBetween val="between"/>
      </c:valAx>
    </c:plotArea>
    <c:legend>
      <c:legendPos val="r"/>
      <c:legendEntry>
        <c:idx val="0"/>
        <c:txPr>
          <a:bodyPr/>
          <a:lstStyle/>
          <a:p>
            <a:pPr>
              <a:defRPr sz="1200"/>
            </a:pPr>
            <a:endParaRPr lang="es-CO"/>
          </a:p>
        </c:txPr>
      </c:legendEntry>
      <c:legendEntry>
        <c:idx val="1"/>
        <c:txPr>
          <a:bodyPr/>
          <a:lstStyle/>
          <a:p>
            <a:pPr>
              <a:defRPr sz="1000"/>
            </a:pPr>
            <a:endParaRPr lang="es-CO"/>
          </a:p>
        </c:txPr>
      </c:legendEntry>
      <c:layout>
        <c:manualLayout>
          <c:xMode val="edge"/>
          <c:yMode val="edge"/>
          <c:x val="0.67608512700268097"/>
          <c:y val="1.7049490103406444E-2"/>
          <c:w val="0.32267609234885519"/>
          <c:h val="0.6542365992891076"/>
        </c:manualLayout>
      </c:layout>
      <c:overlay val="0"/>
      <c:txPr>
        <a:bodyPr/>
        <a:lstStyle/>
        <a:p>
          <a:pPr>
            <a:defRPr lang="he-IL" sz="1200"/>
          </a:pPr>
          <a:endParaRPr lang="es-CO"/>
        </a:p>
      </c:txPr>
    </c:legend>
    <c:plotVisOnly val="1"/>
    <c:dispBlanksAs val="gap"/>
    <c:showDLblsOverMax val="0"/>
  </c:chart>
  <c:printSettings>
    <c:headerFooter/>
    <c:pageMargins b="0.75000000000000844" l="0.70000000000000062" r="0.70000000000000062" t="0.75000000000000844" header="0.30000000000000032" footer="0.30000000000000032"/>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8. RI 2015'!$A$52:$F$52</c:f>
              <c:strCache>
                <c:ptCount val="6"/>
                <c:pt idx="0">
                  <c:v>Porcentaje (%) de Dismininución de Consumo de Papel</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8. RI 2015'!$G$51:$J$51</c:f>
              <c:numCache>
                <c:formatCode>General</c:formatCode>
                <c:ptCount val="4"/>
                <c:pt idx="0">
                  <c:v>2012</c:v>
                </c:pt>
                <c:pt idx="1">
                  <c:v>2013</c:v>
                </c:pt>
                <c:pt idx="2">
                  <c:v>2014</c:v>
                </c:pt>
                <c:pt idx="3">
                  <c:v>2015</c:v>
                </c:pt>
              </c:numCache>
            </c:numRef>
          </c:cat>
          <c:val>
            <c:numRef>
              <c:f>'Hoja 8. RI 2015'!$G$52:$J$52</c:f>
              <c:numCache>
                <c:formatCode>0%</c:formatCode>
                <c:ptCount val="4"/>
                <c:pt idx="0">
                  <c:v>-0.44</c:v>
                </c:pt>
                <c:pt idx="1">
                  <c:v>-0.12</c:v>
                </c:pt>
                <c:pt idx="2">
                  <c:v>-7.1608040201004974E-2</c:v>
                </c:pt>
                <c:pt idx="3">
                  <c:v>-0.28010825439783493</c:v>
                </c:pt>
              </c:numCache>
            </c:numRef>
          </c:val>
          <c:smooth val="0"/>
          <c:extLst>
            <c:ext xmlns:c16="http://schemas.microsoft.com/office/drawing/2014/chart" uri="{C3380CC4-5D6E-409C-BE32-E72D297353CC}">
              <c16:uniqueId val="{00000000-EF55-4348-894A-70D2C7368B82}"/>
            </c:ext>
          </c:extLst>
        </c:ser>
        <c:ser>
          <c:idx val="1"/>
          <c:order val="1"/>
          <c:tx>
            <c:strRef>
              <c:f>'Hoja 8. RI 2015'!$A$53:$F$53</c:f>
              <c:strCache>
                <c:ptCount val="6"/>
                <c:pt idx="0">
                  <c:v>Meta</c:v>
                </c:pt>
              </c:strCache>
            </c:strRef>
          </c:tx>
          <c:spPr>
            <a:ln w="38100">
              <a:solidFill>
                <a:srgbClr val="FF0000"/>
              </a:solidFill>
            </a:ln>
          </c:spPr>
          <c:marker>
            <c:symbol val="none"/>
          </c:marker>
          <c:cat>
            <c:numRef>
              <c:f>'Hoja 8. RI 2015'!$G$51:$J$51</c:f>
              <c:numCache>
                <c:formatCode>General</c:formatCode>
                <c:ptCount val="4"/>
                <c:pt idx="0">
                  <c:v>2012</c:v>
                </c:pt>
                <c:pt idx="1">
                  <c:v>2013</c:v>
                </c:pt>
                <c:pt idx="2">
                  <c:v>2014</c:v>
                </c:pt>
                <c:pt idx="3">
                  <c:v>2015</c:v>
                </c:pt>
              </c:numCache>
            </c:numRef>
          </c:cat>
          <c:val>
            <c:numRef>
              <c:f>'Hoja 8. RI 2015'!$G$53:$J$53</c:f>
              <c:numCache>
                <c:formatCode>0%</c:formatCode>
                <c:ptCount val="4"/>
                <c:pt idx="0">
                  <c:v>-0.02</c:v>
                </c:pt>
                <c:pt idx="1">
                  <c:v>-0.02</c:v>
                </c:pt>
                <c:pt idx="2">
                  <c:v>-0.02</c:v>
                </c:pt>
                <c:pt idx="3">
                  <c:v>-0.02</c:v>
                </c:pt>
              </c:numCache>
            </c:numRef>
          </c:val>
          <c:smooth val="0"/>
          <c:extLst>
            <c:ext xmlns:c16="http://schemas.microsoft.com/office/drawing/2014/chart" uri="{C3380CC4-5D6E-409C-BE32-E72D297353CC}">
              <c16:uniqueId val="{00000001-EF55-4348-894A-70D2C7368B82}"/>
            </c:ext>
          </c:extLst>
        </c:ser>
        <c:dLbls>
          <c:showLegendKey val="0"/>
          <c:showVal val="0"/>
          <c:showCatName val="0"/>
          <c:showSerName val="0"/>
          <c:showPercent val="0"/>
          <c:showBubbleSize val="0"/>
        </c:dLbls>
        <c:smooth val="0"/>
        <c:axId val="193051040"/>
        <c:axId val="193042024"/>
      </c:lineChart>
      <c:catAx>
        <c:axId val="193051040"/>
        <c:scaling>
          <c:orientation val="minMax"/>
        </c:scaling>
        <c:delete val="0"/>
        <c:axPos val="b"/>
        <c:numFmt formatCode="General" sourceLinked="1"/>
        <c:majorTickMark val="out"/>
        <c:minorTickMark val="none"/>
        <c:tickLblPos val="nextTo"/>
        <c:txPr>
          <a:bodyPr/>
          <a:lstStyle/>
          <a:p>
            <a:pPr>
              <a:defRPr lang="he-IL" sz="1800"/>
            </a:pPr>
            <a:endParaRPr lang="es-CO"/>
          </a:p>
        </c:txPr>
        <c:crossAx val="193042024"/>
        <c:crosses val="autoZero"/>
        <c:auto val="1"/>
        <c:lblAlgn val="ctr"/>
        <c:lblOffset val="100"/>
        <c:noMultiLvlLbl val="0"/>
      </c:catAx>
      <c:valAx>
        <c:axId val="193042024"/>
        <c:scaling>
          <c:orientation val="minMax"/>
          <c:min val="-0.6000000000000002"/>
        </c:scaling>
        <c:delete val="0"/>
        <c:axPos val="l"/>
        <c:majorGridlines/>
        <c:numFmt formatCode="0%" sourceLinked="1"/>
        <c:majorTickMark val="out"/>
        <c:minorTickMark val="none"/>
        <c:tickLblPos val="nextTo"/>
        <c:txPr>
          <a:bodyPr/>
          <a:lstStyle/>
          <a:p>
            <a:pPr>
              <a:defRPr lang="he-IL" sz="1800"/>
            </a:pPr>
            <a:endParaRPr lang="es-CO"/>
          </a:p>
        </c:txPr>
        <c:crossAx val="193051040"/>
        <c:crosses val="autoZero"/>
        <c:crossBetween val="between"/>
        <c:majorUnit val="0.1"/>
        <c:minorUnit val="4.0000000000000018E-3"/>
      </c:valAx>
    </c:plotArea>
    <c:legend>
      <c:legendPos val="r"/>
      <c:legendEntry>
        <c:idx val="0"/>
        <c:txPr>
          <a:bodyPr/>
          <a:lstStyle/>
          <a:p>
            <a:pPr>
              <a:defRPr sz="1400"/>
            </a:pPr>
            <a:endParaRPr lang="es-CO"/>
          </a:p>
        </c:txPr>
      </c:legendEntry>
      <c:layout>
        <c:manualLayout>
          <c:xMode val="edge"/>
          <c:yMode val="edge"/>
          <c:x val="0.65833333333333965"/>
          <c:y val="1.5587634878973461E-3"/>
          <c:w val="0.33746929348117038"/>
          <c:h val="0.41100966883401824"/>
        </c:manualLayout>
      </c:layout>
      <c:overlay val="0"/>
      <c:txPr>
        <a:bodyPr/>
        <a:lstStyle/>
        <a:p>
          <a:pPr>
            <a:defRPr lang="he-IL" sz="1400"/>
          </a:pPr>
          <a:endParaRPr lang="es-CO"/>
        </a:p>
      </c:txPr>
    </c:legend>
    <c:plotVisOnly val="1"/>
    <c:dispBlanksAs val="gap"/>
    <c:showDLblsOverMax val="0"/>
  </c:chart>
  <c:printSettings>
    <c:headerFooter/>
    <c:pageMargins b="0.75000000000000866" l="0.70000000000000062" r="0.70000000000000062" t="0.75000000000000866" header="0.30000000000000032" footer="0.30000000000000032"/>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8256561519651791E-2"/>
          <c:y val="4.0737157545927397E-2"/>
          <c:w val="0.65856424544600367"/>
          <c:h val="0.91852568490814523"/>
        </c:manualLayout>
      </c:layout>
      <c:lineChart>
        <c:grouping val="standard"/>
        <c:varyColors val="0"/>
        <c:ser>
          <c:idx val="0"/>
          <c:order val="0"/>
          <c:tx>
            <c:strRef>
              <c:f>'Hoja 8. RI 2015'!$A$89:$F$89</c:f>
              <c:strCache>
                <c:ptCount val="6"/>
                <c:pt idx="0">
                  <c:v>Porcentaje (%) de Dismininución de Consumo de Agua</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8. RI 2015'!$G$88:$J$88</c:f>
              <c:numCache>
                <c:formatCode>General</c:formatCode>
                <c:ptCount val="4"/>
                <c:pt idx="0">
                  <c:v>2012</c:v>
                </c:pt>
                <c:pt idx="1">
                  <c:v>2013</c:v>
                </c:pt>
                <c:pt idx="2">
                  <c:v>2014</c:v>
                </c:pt>
                <c:pt idx="3">
                  <c:v>2015</c:v>
                </c:pt>
              </c:numCache>
            </c:numRef>
          </c:cat>
          <c:val>
            <c:numRef>
              <c:f>'Hoja 8. RI 2015'!$G$89:$J$89</c:f>
              <c:numCache>
                <c:formatCode>0%</c:formatCode>
                <c:ptCount val="4"/>
                <c:pt idx="0">
                  <c:v>0.57999999999999996</c:v>
                </c:pt>
                <c:pt idx="1">
                  <c:v>-0.34</c:v>
                </c:pt>
                <c:pt idx="2">
                  <c:v>0.72428571428571442</c:v>
                </c:pt>
                <c:pt idx="3">
                  <c:v>0.13918806959403485</c:v>
                </c:pt>
              </c:numCache>
            </c:numRef>
          </c:val>
          <c:smooth val="0"/>
          <c:extLst>
            <c:ext xmlns:c16="http://schemas.microsoft.com/office/drawing/2014/chart" uri="{C3380CC4-5D6E-409C-BE32-E72D297353CC}">
              <c16:uniqueId val="{00000000-A9B3-4C36-9659-73CAA236C0AA}"/>
            </c:ext>
          </c:extLst>
        </c:ser>
        <c:ser>
          <c:idx val="1"/>
          <c:order val="1"/>
          <c:tx>
            <c:strRef>
              <c:f>'Hoja 8. RI 2015'!$A$90:$F$90</c:f>
              <c:strCache>
                <c:ptCount val="6"/>
                <c:pt idx="0">
                  <c:v>Meta</c:v>
                </c:pt>
              </c:strCache>
            </c:strRef>
          </c:tx>
          <c:spPr>
            <a:ln w="38100">
              <a:solidFill>
                <a:srgbClr val="FF0000"/>
              </a:solidFill>
            </a:ln>
          </c:spPr>
          <c:marker>
            <c:symbol val="none"/>
          </c:marker>
          <c:cat>
            <c:numRef>
              <c:f>'Hoja 8. RI 2015'!$G$88:$J$88</c:f>
              <c:numCache>
                <c:formatCode>General</c:formatCode>
                <c:ptCount val="4"/>
                <c:pt idx="0">
                  <c:v>2012</c:v>
                </c:pt>
                <c:pt idx="1">
                  <c:v>2013</c:v>
                </c:pt>
                <c:pt idx="2">
                  <c:v>2014</c:v>
                </c:pt>
                <c:pt idx="3">
                  <c:v>2015</c:v>
                </c:pt>
              </c:numCache>
            </c:numRef>
          </c:cat>
          <c:val>
            <c:numRef>
              <c:f>'Hoja 8. RI 2015'!$G$90:$J$90</c:f>
              <c:numCache>
                <c:formatCode>0%</c:formatCode>
                <c:ptCount val="4"/>
                <c:pt idx="0">
                  <c:v>-0.01</c:v>
                </c:pt>
                <c:pt idx="1">
                  <c:v>-0.01</c:v>
                </c:pt>
                <c:pt idx="2">
                  <c:v>-0.01</c:v>
                </c:pt>
                <c:pt idx="3">
                  <c:v>-0.01</c:v>
                </c:pt>
              </c:numCache>
            </c:numRef>
          </c:val>
          <c:smooth val="0"/>
          <c:extLst>
            <c:ext xmlns:c16="http://schemas.microsoft.com/office/drawing/2014/chart" uri="{C3380CC4-5D6E-409C-BE32-E72D297353CC}">
              <c16:uniqueId val="{00000001-A9B3-4C36-9659-73CAA236C0AA}"/>
            </c:ext>
          </c:extLst>
        </c:ser>
        <c:dLbls>
          <c:showLegendKey val="0"/>
          <c:showVal val="0"/>
          <c:showCatName val="0"/>
          <c:showSerName val="0"/>
          <c:showPercent val="0"/>
          <c:showBubbleSize val="0"/>
        </c:dLbls>
        <c:smooth val="0"/>
        <c:axId val="193042416"/>
        <c:axId val="193051824"/>
      </c:lineChart>
      <c:catAx>
        <c:axId val="193042416"/>
        <c:scaling>
          <c:orientation val="minMax"/>
        </c:scaling>
        <c:delete val="0"/>
        <c:axPos val="b"/>
        <c:numFmt formatCode="General" sourceLinked="1"/>
        <c:majorTickMark val="out"/>
        <c:minorTickMark val="none"/>
        <c:tickLblPos val="nextTo"/>
        <c:txPr>
          <a:bodyPr/>
          <a:lstStyle/>
          <a:p>
            <a:pPr>
              <a:defRPr lang="he-IL" sz="1800"/>
            </a:pPr>
            <a:endParaRPr lang="es-CO"/>
          </a:p>
        </c:txPr>
        <c:crossAx val="193051824"/>
        <c:crosses val="autoZero"/>
        <c:auto val="1"/>
        <c:lblAlgn val="ctr"/>
        <c:lblOffset val="100"/>
        <c:noMultiLvlLbl val="0"/>
      </c:catAx>
      <c:valAx>
        <c:axId val="193051824"/>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193042416"/>
        <c:crosses val="autoZero"/>
        <c:crossBetween val="between"/>
      </c:valAx>
    </c:plotArea>
    <c:legend>
      <c:legendPos val="r"/>
      <c:legendEntry>
        <c:idx val="0"/>
        <c:txPr>
          <a:bodyPr/>
          <a:lstStyle/>
          <a:p>
            <a:pPr>
              <a:defRPr sz="1400"/>
            </a:pPr>
            <a:endParaRPr lang="es-CO"/>
          </a:p>
        </c:txPr>
      </c:legendEntry>
      <c:layout>
        <c:manualLayout>
          <c:xMode val="edge"/>
          <c:yMode val="edge"/>
          <c:x val="0.73356970202931471"/>
          <c:y val="1.5587634878973461E-3"/>
          <c:w val="0.26223288151623203"/>
          <c:h val="0.57642314447536158"/>
        </c:manualLayout>
      </c:layout>
      <c:overlay val="0"/>
      <c:txPr>
        <a:bodyPr/>
        <a:lstStyle/>
        <a:p>
          <a:pPr>
            <a:defRPr lang="he-IL" sz="1400"/>
          </a:pPr>
          <a:endParaRPr lang="es-CO"/>
        </a:p>
      </c:txPr>
    </c:legend>
    <c:plotVisOnly val="1"/>
    <c:dispBlanksAs val="gap"/>
    <c:showDLblsOverMax val="0"/>
  </c:chart>
  <c:printSettings>
    <c:headerFooter/>
    <c:pageMargins b="0.75000000000000888" l="0.70000000000000062" r="0.70000000000000062" t="0.75000000000000888" header="0.30000000000000032" footer="0.30000000000000032"/>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8648881873829743E-2"/>
          <c:y val="4.1804786772753878E-2"/>
          <c:w val="0.62753676216647081"/>
          <c:h val="0.91639042645449242"/>
        </c:manualLayout>
      </c:layout>
      <c:lineChart>
        <c:grouping val="standard"/>
        <c:varyColors val="0"/>
        <c:ser>
          <c:idx val="0"/>
          <c:order val="0"/>
          <c:tx>
            <c:strRef>
              <c:f>'Hoja 8. RI 2015'!$A$109:$F$109</c:f>
              <c:strCache>
                <c:ptCount val="6"/>
                <c:pt idx="0">
                  <c:v>Porcentaje (%) de Disminución de Consumo de Energía</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8. RI 2015'!$G$108:$K$108</c:f>
              <c:numCache>
                <c:formatCode>General</c:formatCode>
                <c:ptCount val="5"/>
                <c:pt idx="0">
                  <c:v>2012</c:v>
                </c:pt>
                <c:pt idx="1">
                  <c:v>2013</c:v>
                </c:pt>
                <c:pt idx="2">
                  <c:v>2014</c:v>
                </c:pt>
                <c:pt idx="3">
                  <c:v>2014</c:v>
                </c:pt>
                <c:pt idx="4">
                  <c:v>2015</c:v>
                </c:pt>
              </c:numCache>
            </c:numRef>
          </c:cat>
          <c:val>
            <c:numRef>
              <c:f>'Hoja 8. RI 2015'!$G$109:$K$109</c:f>
              <c:numCache>
                <c:formatCode>0%</c:formatCode>
                <c:ptCount val="5"/>
                <c:pt idx="0">
                  <c:v>0.15</c:v>
                </c:pt>
                <c:pt idx="1">
                  <c:v>-0.37</c:v>
                </c:pt>
                <c:pt idx="2">
                  <c:v>-0.02</c:v>
                </c:pt>
                <c:pt idx="3">
                  <c:v>0.29385849768647665</c:v>
                </c:pt>
                <c:pt idx="4">
                  <c:v>-0.32260273538307416</c:v>
                </c:pt>
              </c:numCache>
            </c:numRef>
          </c:val>
          <c:smooth val="0"/>
          <c:extLst>
            <c:ext xmlns:c16="http://schemas.microsoft.com/office/drawing/2014/chart" uri="{C3380CC4-5D6E-409C-BE32-E72D297353CC}">
              <c16:uniqueId val="{00000000-7323-4E87-8109-138D45488A87}"/>
            </c:ext>
          </c:extLst>
        </c:ser>
        <c:ser>
          <c:idx val="1"/>
          <c:order val="1"/>
          <c:tx>
            <c:strRef>
              <c:f>'Hoja 8. RI 2015'!$A$110:$F$110</c:f>
              <c:strCache>
                <c:ptCount val="6"/>
                <c:pt idx="0">
                  <c:v>Meta</c:v>
                </c:pt>
              </c:strCache>
            </c:strRef>
          </c:tx>
          <c:spPr>
            <a:ln w="38100">
              <a:solidFill>
                <a:srgbClr val="FF0000"/>
              </a:solidFill>
            </a:ln>
          </c:spPr>
          <c:marker>
            <c:symbol val="none"/>
          </c:marker>
          <c:cat>
            <c:numRef>
              <c:f>'Hoja 8. RI 2015'!$G$108:$K$108</c:f>
              <c:numCache>
                <c:formatCode>General</c:formatCode>
                <c:ptCount val="5"/>
                <c:pt idx="0">
                  <c:v>2012</c:v>
                </c:pt>
                <c:pt idx="1">
                  <c:v>2013</c:v>
                </c:pt>
                <c:pt idx="2">
                  <c:v>2014</c:v>
                </c:pt>
                <c:pt idx="3">
                  <c:v>2014</c:v>
                </c:pt>
                <c:pt idx="4">
                  <c:v>2015</c:v>
                </c:pt>
              </c:numCache>
            </c:numRef>
          </c:cat>
          <c:val>
            <c:numRef>
              <c:f>'Hoja 8. RI 2015'!$G$110:$K$110</c:f>
              <c:numCache>
                <c:formatCode>0%</c:formatCode>
                <c:ptCount val="5"/>
                <c:pt idx="0">
                  <c:v>-0.01</c:v>
                </c:pt>
                <c:pt idx="1">
                  <c:v>-0.01</c:v>
                </c:pt>
                <c:pt idx="2">
                  <c:v>-0.01</c:v>
                </c:pt>
                <c:pt idx="3">
                  <c:v>-0.01</c:v>
                </c:pt>
                <c:pt idx="4">
                  <c:v>-0.01</c:v>
                </c:pt>
              </c:numCache>
            </c:numRef>
          </c:val>
          <c:smooth val="0"/>
          <c:extLst>
            <c:ext xmlns:c16="http://schemas.microsoft.com/office/drawing/2014/chart" uri="{C3380CC4-5D6E-409C-BE32-E72D297353CC}">
              <c16:uniqueId val="{00000001-7323-4E87-8109-138D45488A87}"/>
            </c:ext>
          </c:extLst>
        </c:ser>
        <c:dLbls>
          <c:showLegendKey val="0"/>
          <c:showVal val="0"/>
          <c:showCatName val="0"/>
          <c:showSerName val="0"/>
          <c:showPercent val="0"/>
          <c:showBubbleSize val="0"/>
        </c:dLbls>
        <c:smooth val="0"/>
        <c:axId val="193044768"/>
        <c:axId val="193052216"/>
      </c:lineChart>
      <c:catAx>
        <c:axId val="193044768"/>
        <c:scaling>
          <c:orientation val="minMax"/>
        </c:scaling>
        <c:delete val="0"/>
        <c:axPos val="b"/>
        <c:numFmt formatCode="General" sourceLinked="1"/>
        <c:majorTickMark val="out"/>
        <c:minorTickMark val="none"/>
        <c:tickLblPos val="nextTo"/>
        <c:txPr>
          <a:bodyPr/>
          <a:lstStyle/>
          <a:p>
            <a:pPr>
              <a:defRPr lang="he-IL" sz="1800"/>
            </a:pPr>
            <a:endParaRPr lang="es-CO"/>
          </a:p>
        </c:txPr>
        <c:crossAx val="193052216"/>
        <c:crosses val="autoZero"/>
        <c:auto val="1"/>
        <c:lblAlgn val="ctr"/>
        <c:lblOffset val="100"/>
        <c:noMultiLvlLbl val="0"/>
      </c:catAx>
      <c:valAx>
        <c:axId val="193052216"/>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193044768"/>
        <c:crosses val="autoZero"/>
        <c:crossBetween val="between"/>
      </c:valAx>
    </c:plotArea>
    <c:legend>
      <c:legendPos val="r"/>
      <c:legendEntry>
        <c:idx val="0"/>
        <c:txPr>
          <a:bodyPr/>
          <a:lstStyle/>
          <a:p>
            <a:pPr>
              <a:defRPr sz="1400"/>
            </a:pPr>
            <a:endParaRPr lang="es-CO"/>
          </a:p>
        </c:txPr>
      </c:legendEntry>
      <c:layout>
        <c:manualLayout>
          <c:xMode val="edge"/>
          <c:yMode val="edge"/>
          <c:x val="0.72797700276101263"/>
          <c:y val="1.5587634878973461E-3"/>
          <c:w val="0.25710554760086846"/>
          <c:h val="0.48606354841482979"/>
        </c:manualLayout>
      </c:layout>
      <c:overlay val="0"/>
      <c:txPr>
        <a:bodyPr/>
        <a:lstStyle/>
        <a:p>
          <a:pPr>
            <a:defRPr lang="he-IL" sz="1400"/>
          </a:pPr>
          <a:endParaRPr lang="es-CO"/>
        </a:p>
      </c:txPr>
    </c:legend>
    <c:plotVisOnly val="1"/>
    <c:dispBlanksAs val="gap"/>
    <c:showDLblsOverMax val="0"/>
  </c:chart>
  <c:printSettings>
    <c:headerFooter/>
    <c:pageMargins b="0.7500000000000091" l="0.70000000000000062" r="0.70000000000000062" t="0.7500000000000091" header="0.30000000000000032" footer="0.30000000000000032"/>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17031589541308"/>
          <c:y val="7.4016112569262174E-2"/>
          <c:w val="0.61729082006869374"/>
          <c:h val="0.69600320793234149"/>
        </c:manualLayout>
      </c:layout>
      <c:lineChart>
        <c:grouping val="standard"/>
        <c:varyColors val="0"/>
        <c:ser>
          <c:idx val="0"/>
          <c:order val="0"/>
          <c:tx>
            <c:strRef>
              <c:f>'Hoja 9. FC 2017'!$A$36:$F$36</c:f>
              <c:strCache>
                <c:ptCount val="6"/>
                <c:pt idx="0">
                  <c:v>Porcentaje (%) de Incremento de Cartera Recuperada entre Vigencias</c:v>
                </c:pt>
              </c:strCache>
            </c:strRef>
          </c:tx>
          <c:spPr>
            <a:ln w="38100">
              <a:solidFill>
                <a:schemeClr val="accent6">
                  <a:lumMod val="75000"/>
                </a:schemeClr>
              </a:solidFill>
              <a:prstDash val="sys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9. FC 2017'!$G$35:$M$35</c:f>
              <c:numCache>
                <c:formatCode>General</c:formatCode>
                <c:ptCount val="7"/>
                <c:pt idx="0">
                  <c:v>2010</c:v>
                </c:pt>
                <c:pt idx="1">
                  <c:v>2011</c:v>
                </c:pt>
                <c:pt idx="2">
                  <c:v>2012</c:v>
                </c:pt>
                <c:pt idx="3">
                  <c:v>2013</c:v>
                </c:pt>
                <c:pt idx="4">
                  <c:v>2014</c:v>
                </c:pt>
                <c:pt idx="5">
                  <c:v>2015</c:v>
                </c:pt>
                <c:pt idx="6">
                  <c:v>2016</c:v>
                </c:pt>
              </c:numCache>
            </c:numRef>
          </c:cat>
          <c:val>
            <c:numRef>
              <c:f>'Hoja 9. FC 2017'!$G$36:$M$36</c:f>
              <c:numCache>
                <c:formatCode>0%</c:formatCode>
                <c:ptCount val="7"/>
                <c:pt idx="0">
                  <c:v>0.33</c:v>
                </c:pt>
                <c:pt idx="1">
                  <c:v>0.05</c:v>
                </c:pt>
                <c:pt idx="2">
                  <c:v>-0.47</c:v>
                </c:pt>
                <c:pt idx="3">
                  <c:v>0.12</c:v>
                </c:pt>
                <c:pt idx="4">
                  <c:v>0.18179586314500834</c:v>
                </c:pt>
                <c:pt idx="5">
                  <c:v>0.11138012438066704</c:v>
                </c:pt>
                <c:pt idx="6">
                  <c:v>0.14206952742616033</c:v>
                </c:pt>
              </c:numCache>
            </c:numRef>
          </c:val>
          <c:smooth val="1"/>
          <c:extLst>
            <c:ext xmlns:c16="http://schemas.microsoft.com/office/drawing/2014/chart" uri="{C3380CC4-5D6E-409C-BE32-E72D297353CC}">
              <c16:uniqueId val="{00000000-6541-403F-8FF1-3A2F660FE987}"/>
            </c:ext>
          </c:extLst>
        </c:ser>
        <c:ser>
          <c:idx val="1"/>
          <c:order val="1"/>
          <c:tx>
            <c:strRef>
              <c:f>'Hoja 9. FC 2017'!$A$37:$F$37</c:f>
              <c:strCache>
                <c:ptCount val="6"/>
                <c:pt idx="0">
                  <c:v>Meta</c:v>
                </c:pt>
              </c:strCache>
            </c:strRef>
          </c:tx>
          <c:spPr>
            <a:ln w="38100">
              <a:solidFill>
                <a:srgbClr val="FF0000"/>
              </a:solidFill>
              <a:prstDash val="dashDot"/>
            </a:ln>
          </c:spPr>
          <c:marker>
            <c:symbol val="none"/>
          </c:marker>
          <c:cat>
            <c:numRef>
              <c:f>'Hoja 9. FC 2017'!$G$35:$M$35</c:f>
              <c:numCache>
                <c:formatCode>General</c:formatCode>
                <c:ptCount val="7"/>
                <c:pt idx="0">
                  <c:v>2010</c:v>
                </c:pt>
                <c:pt idx="1">
                  <c:v>2011</c:v>
                </c:pt>
                <c:pt idx="2">
                  <c:v>2012</c:v>
                </c:pt>
                <c:pt idx="3">
                  <c:v>2013</c:v>
                </c:pt>
                <c:pt idx="4">
                  <c:v>2014</c:v>
                </c:pt>
                <c:pt idx="5">
                  <c:v>2015</c:v>
                </c:pt>
                <c:pt idx="6">
                  <c:v>2016</c:v>
                </c:pt>
              </c:numCache>
            </c:numRef>
          </c:cat>
          <c:val>
            <c:numRef>
              <c:f>'Hoja 9. FC 2017'!$G$37:$M$37</c:f>
              <c:numCache>
                <c:formatCode>0%</c:formatCode>
                <c:ptCount val="7"/>
                <c:pt idx="0">
                  <c:v>0.1</c:v>
                </c:pt>
                <c:pt idx="1">
                  <c:v>0.1</c:v>
                </c:pt>
                <c:pt idx="2">
                  <c:v>0.1</c:v>
                </c:pt>
                <c:pt idx="3">
                  <c:v>0.1</c:v>
                </c:pt>
                <c:pt idx="4">
                  <c:v>0.1</c:v>
                </c:pt>
                <c:pt idx="5">
                  <c:v>0.1</c:v>
                </c:pt>
                <c:pt idx="6">
                  <c:v>0.1</c:v>
                </c:pt>
              </c:numCache>
            </c:numRef>
          </c:val>
          <c:smooth val="0"/>
          <c:extLst>
            <c:ext xmlns:c16="http://schemas.microsoft.com/office/drawing/2014/chart" uri="{C3380CC4-5D6E-409C-BE32-E72D297353CC}">
              <c16:uniqueId val="{00000001-6541-403F-8FF1-3A2F660FE987}"/>
            </c:ext>
          </c:extLst>
        </c:ser>
        <c:dLbls>
          <c:showLegendKey val="0"/>
          <c:showVal val="0"/>
          <c:showCatName val="0"/>
          <c:showSerName val="0"/>
          <c:showPercent val="0"/>
          <c:showBubbleSize val="0"/>
        </c:dLbls>
        <c:smooth val="0"/>
        <c:axId val="683649544"/>
        <c:axId val="683656208"/>
      </c:lineChart>
      <c:catAx>
        <c:axId val="683649544"/>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56208"/>
        <c:crosses val="autoZero"/>
        <c:auto val="1"/>
        <c:lblAlgn val="ctr"/>
        <c:lblOffset val="100"/>
        <c:noMultiLvlLbl val="0"/>
      </c:catAx>
      <c:valAx>
        <c:axId val="683656208"/>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683649544"/>
        <c:crosses val="autoZero"/>
        <c:crossBetween val="between"/>
      </c:valAx>
    </c:plotArea>
    <c:legend>
      <c:legendPos val="r"/>
      <c:legendEntry>
        <c:idx val="0"/>
        <c:txPr>
          <a:bodyPr/>
          <a:lstStyle/>
          <a:p>
            <a:pPr>
              <a:defRPr sz="1400"/>
            </a:pPr>
            <a:endParaRPr lang="es-CO"/>
          </a:p>
        </c:txPr>
      </c:legendEntry>
      <c:layout>
        <c:manualLayout>
          <c:xMode val="edge"/>
          <c:yMode val="edge"/>
          <c:x val="0.7592115154915986"/>
          <c:y val="1.5587634878973461E-3"/>
          <c:w val="0.23659112670185711"/>
          <c:h val="0.79063939924176141"/>
        </c:manualLayout>
      </c:layout>
      <c:overlay val="0"/>
      <c:txPr>
        <a:bodyPr/>
        <a:lstStyle/>
        <a:p>
          <a:pPr>
            <a:defRPr lang="he-IL" sz="1400"/>
          </a:pPr>
          <a:endParaRPr lang="es-CO"/>
        </a:p>
      </c:txPr>
    </c:legend>
    <c:plotVisOnly val="1"/>
    <c:dispBlanksAs val="gap"/>
    <c:showDLblsOverMax val="0"/>
  </c:chart>
  <c:printSettings>
    <c:headerFooter/>
    <c:pageMargins b="0.75000000000000866" l="0.70000000000000062" r="0.70000000000000062" t="0.75000000000000866" header="0.30000000000000032" footer="0.30000000000000032"/>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9. FC 2017'!$A$65:$F$65</c:f>
              <c:strCache>
                <c:ptCount val="6"/>
                <c:pt idx="0">
                  <c:v>Porcentaje (%) de Incremento de Ingresos por Sobretasa Ambiental entre Vigencias</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9. FC 2017'!$G$64:$K$64</c:f>
              <c:numCache>
                <c:formatCode>General</c:formatCode>
                <c:ptCount val="5"/>
                <c:pt idx="0">
                  <c:v>2012</c:v>
                </c:pt>
                <c:pt idx="1">
                  <c:v>2013</c:v>
                </c:pt>
                <c:pt idx="2">
                  <c:v>2014</c:v>
                </c:pt>
                <c:pt idx="3">
                  <c:v>2015</c:v>
                </c:pt>
                <c:pt idx="4">
                  <c:v>2016</c:v>
                </c:pt>
              </c:numCache>
            </c:numRef>
          </c:cat>
          <c:val>
            <c:numRef>
              <c:f>'Hoja 9. FC 2017'!$G$65:$K$65</c:f>
              <c:numCache>
                <c:formatCode>0%</c:formatCode>
                <c:ptCount val="5"/>
                <c:pt idx="0">
                  <c:v>0.42</c:v>
                </c:pt>
                <c:pt idx="1">
                  <c:v>-0.02</c:v>
                </c:pt>
                <c:pt idx="2">
                  <c:v>0.30283658480772591</c:v>
                </c:pt>
                <c:pt idx="3" formatCode="0.0%">
                  <c:v>-0.16498104671568431</c:v>
                </c:pt>
                <c:pt idx="4" formatCode="0.0%">
                  <c:v>8.2045728227859063E-2</c:v>
                </c:pt>
              </c:numCache>
            </c:numRef>
          </c:val>
          <c:smooth val="1"/>
          <c:extLst>
            <c:ext xmlns:c16="http://schemas.microsoft.com/office/drawing/2014/chart" uri="{C3380CC4-5D6E-409C-BE32-E72D297353CC}">
              <c16:uniqueId val="{00000000-30C0-4AA7-B52D-757F93ECD98F}"/>
            </c:ext>
          </c:extLst>
        </c:ser>
        <c:ser>
          <c:idx val="1"/>
          <c:order val="1"/>
          <c:tx>
            <c:strRef>
              <c:f>'Hoja 9. FC 2017'!$A$66:$F$66</c:f>
              <c:strCache>
                <c:ptCount val="6"/>
                <c:pt idx="0">
                  <c:v>Meta</c:v>
                </c:pt>
              </c:strCache>
            </c:strRef>
          </c:tx>
          <c:spPr>
            <a:ln w="38100">
              <a:solidFill>
                <a:srgbClr val="FF0000"/>
              </a:solidFill>
              <a:prstDash val="dashDot"/>
            </a:ln>
          </c:spPr>
          <c:marker>
            <c:symbol val="none"/>
          </c:marker>
          <c:cat>
            <c:numRef>
              <c:f>'Hoja 9. FC 2017'!$G$64:$K$64</c:f>
              <c:numCache>
                <c:formatCode>General</c:formatCode>
                <c:ptCount val="5"/>
                <c:pt idx="0">
                  <c:v>2012</c:v>
                </c:pt>
                <c:pt idx="1">
                  <c:v>2013</c:v>
                </c:pt>
                <c:pt idx="2">
                  <c:v>2014</c:v>
                </c:pt>
                <c:pt idx="3">
                  <c:v>2015</c:v>
                </c:pt>
                <c:pt idx="4">
                  <c:v>2016</c:v>
                </c:pt>
              </c:numCache>
            </c:numRef>
          </c:cat>
          <c:val>
            <c:numRef>
              <c:f>'Hoja 9. FC 2017'!$G$66:$K$66</c:f>
              <c:numCache>
                <c:formatCode>0%</c:formatCode>
                <c:ptCount val="5"/>
                <c:pt idx="0">
                  <c:v>0.1</c:v>
                </c:pt>
                <c:pt idx="1">
                  <c:v>0.1</c:v>
                </c:pt>
                <c:pt idx="2">
                  <c:v>0.1</c:v>
                </c:pt>
                <c:pt idx="3">
                  <c:v>0.1</c:v>
                </c:pt>
                <c:pt idx="4">
                  <c:v>0.1</c:v>
                </c:pt>
              </c:numCache>
            </c:numRef>
          </c:val>
          <c:smooth val="0"/>
          <c:extLst>
            <c:ext xmlns:c16="http://schemas.microsoft.com/office/drawing/2014/chart" uri="{C3380CC4-5D6E-409C-BE32-E72D297353CC}">
              <c16:uniqueId val="{00000001-30C0-4AA7-B52D-757F93ECD98F}"/>
            </c:ext>
          </c:extLst>
        </c:ser>
        <c:dLbls>
          <c:showLegendKey val="0"/>
          <c:showVal val="0"/>
          <c:showCatName val="0"/>
          <c:showSerName val="0"/>
          <c:showPercent val="0"/>
          <c:showBubbleSize val="0"/>
        </c:dLbls>
        <c:smooth val="0"/>
        <c:axId val="683649936"/>
        <c:axId val="683650328"/>
      </c:lineChart>
      <c:catAx>
        <c:axId val="683649936"/>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50328"/>
        <c:crosses val="autoZero"/>
        <c:auto val="1"/>
        <c:lblAlgn val="ctr"/>
        <c:lblOffset val="100"/>
        <c:noMultiLvlLbl val="0"/>
      </c:catAx>
      <c:valAx>
        <c:axId val="683650328"/>
        <c:scaling>
          <c:orientation val="minMax"/>
          <c:min val="-0.1"/>
        </c:scaling>
        <c:delete val="0"/>
        <c:axPos val="l"/>
        <c:majorGridlines/>
        <c:numFmt formatCode="0%" sourceLinked="1"/>
        <c:majorTickMark val="out"/>
        <c:minorTickMark val="none"/>
        <c:tickLblPos val="nextTo"/>
        <c:txPr>
          <a:bodyPr/>
          <a:lstStyle/>
          <a:p>
            <a:pPr>
              <a:defRPr lang="he-IL" sz="1800"/>
            </a:pPr>
            <a:endParaRPr lang="es-CO"/>
          </a:p>
        </c:txPr>
        <c:crossAx val="683649936"/>
        <c:crosses val="autoZero"/>
        <c:crossBetween val="between"/>
      </c:valAx>
    </c:plotArea>
    <c:legend>
      <c:legendPos val="r"/>
      <c:legendEntry>
        <c:idx val="0"/>
        <c:txPr>
          <a:bodyPr/>
          <a:lstStyle/>
          <a:p>
            <a:pPr>
              <a:defRPr sz="1400"/>
            </a:pPr>
            <a:endParaRPr lang="es-CO"/>
          </a:p>
        </c:txPr>
      </c:legendEntry>
      <c:layout>
        <c:manualLayout>
          <c:xMode val="edge"/>
          <c:yMode val="edge"/>
          <c:x val="0.73291909085318274"/>
          <c:y val="3.7636494706647296E-2"/>
          <c:w val="0.25021793439086137"/>
          <c:h val="0.56068397663351677"/>
        </c:manualLayout>
      </c:layout>
      <c:overlay val="0"/>
      <c:txPr>
        <a:bodyPr/>
        <a:lstStyle/>
        <a:p>
          <a:pPr>
            <a:defRPr lang="he-IL" sz="1400"/>
          </a:pPr>
          <a:endParaRPr lang="es-CO"/>
        </a:p>
      </c:txPr>
    </c:legend>
    <c:plotVisOnly val="1"/>
    <c:dispBlanksAs val="gap"/>
    <c:showDLblsOverMax val="0"/>
  </c:chart>
  <c:printSettings>
    <c:headerFooter/>
    <c:pageMargins b="0.75000000000000888" l="0.70000000000000062" r="0.70000000000000062" t="0.75000000000000888" header="0.30000000000000032" footer="0.30000000000000032"/>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17031589541308"/>
          <c:y val="7.4016112569262174E-2"/>
          <c:w val="0.85398962743687956"/>
          <c:h val="0.87302513533240056"/>
        </c:manualLayout>
      </c:layout>
      <c:lineChart>
        <c:grouping val="standard"/>
        <c:varyColors val="0"/>
        <c:ser>
          <c:idx val="0"/>
          <c:order val="0"/>
          <c:tx>
            <c:strRef>
              <c:f>'Hoja 9. FC 2017'!$A$36:$F$36</c:f>
              <c:strCache>
                <c:ptCount val="6"/>
                <c:pt idx="0">
                  <c:v>Porcentaje (%) de Incremento de Cartera Recuperada entre Vigencias</c:v>
                </c:pt>
              </c:strCache>
            </c:strRef>
          </c:tx>
          <c:spPr>
            <a:ln w="38100">
              <a:solidFill>
                <a:schemeClr val="accent6">
                  <a:lumMod val="75000"/>
                </a:schemeClr>
              </a:solidFill>
              <a:prstDash val="sys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9. FC 2017'!$G$35:$N$35</c:f>
              <c:numCache>
                <c:formatCode>General</c:formatCode>
                <c:ptCount val="8"/>
                <c:pt idx="0">
                  <c:v>2010</c:v>
                </c:pt>
                <c:pt idx="1">
                  <c:v>2011</c:v>
                </c:pt>
                <c:pt idx="2">
                  <c:v>2012</c:v>
                </c:pt>
                <c:pt idx="3">
                  <c:v>2013</c:v>
                </c:pt>
                <c:pt idx="4">
                  <c:v>2014</c:v>
                </c:pt>
                <c:pt idx="5">
                  <c:v>2015</c:v>
                </c:pt>
                <c:pt idx="6">
                  <c:v>2016</c:v>
                </c:pt>
                <c:pt idx="7">
                  <c:v>2017</c:v>
                </c:pt>
              </c:numCache>
            </c:numRef>
          </c:cat>
          <c:val>
            <c:numRef>
              <c:f>'Hoja 9. FC 2017'!$G$36:$N$36</c:f>
              <c:numCache>
                <c:formatCode>0%</c:formatCode>
                <c:ptCount val="8"/>
                <c:pt idx="0">
                  <c:v>0.33</c:v>
                </c:pt>
                <c:pt idx="1">
                  <c:v>0.05</c:v>
                </c:pt>
                <c:pt idx="2">
                  <c:v>-0.47</c:v>
                </c:pt>
                <c:pt idx="3">
                  <c:v>0.12</c:v>
                </c:pt>
                <c:pt idx="4">
                  <c:v>0.18179586314500834</c:v>
                </c:pt>
                <c:pt idx="5">
                  <c:v>0.11138012438066704</c:v>
                </c:pt>
                <c:pt idx="6">
                  <c:v>0.14206952742616033</c:v>
                </c:pt>
                <c:pt idx="7">
                  <c:v>1.4891779825638354</c:v>
                </c:pt>
              </c:numCache>
            </c:numRef>
          </c:val>
          <c:smooth val="1"/>
          <c:extLst>
            <c:ext xmlns:c16="http://schemas.microsoft.com/office/drawing/2014/chart" uri="{C3380CC4-5D6E-409C-BE32-E72D297353CC}">
              <c16:uniqueId val="{00000000-AD2D-4B62-8B88-4B855F7496B4}"/>
            </c:ext>
          </c:extLst>
        </c:ser>
        <c:ser>
          <c:idx val="1"/>
          <c:order val="1"/>
          <c:tx>
            <c:strRef>
              <c:f>'Hoja 9. FC 2017'!$A$37:$F$37</c:f>
              <c:strCache>
                <c:ptCount val="6"/>
                <c:pt idx="0">
                  <c:v>Meta</c:v>
                </c:pt>
              </c:strCache>
            </c:strRef>
          </c:tx>
          <c:spPr>
            <a:ln w="38100">
              <a:solidFill>
                <a:srgbClr val="FF0000"/>
              </a:solidFill>
              <a:prstDash val="dashDot"/>
            </a:ln>
          </c:spPr>
          <c:marker>
            <c:symbol val="none"/>
          </c:marker>
          <c:cat>
            <c:numRef>
              <c:f>'Hoja 9. FC 2017'!$G$35:$N$35</c:f>
              <c:numCache>
                <c:formatCode>General</c:formatCode>
                <c:ptCount val="8"/>
                <c:pt idx="0">
                  <c:v>2010</c:v>
                </c:pt>
                <c:pt idx="1">
                  <c:v>2011</c:v>
                </c:pt>
                <c:pt idx="2">
                  <c:v>2012</c:v>
                </c:pt>
                <c:pt idx="3">
                  <c:v>2013</c:v>
                </c:pt>
                <c:pt idx="4">
                  <c:v>2014</c:v>
                </c:pt>
                <c:pt idx="5">
                  <c:v>2015</c:v>
                </c:pt>
                <c:pt idx="6">
                  <c:v>2016</c:v>
                </c:pt>
                <c:pt idx="7">
                  <c:v>2017</c:v>
                </c:pt>
              </c:numCache>
            </c:numRef>
          </c:cat>
          <c:val>
            <c:numRef>
              <c:f>'Hoja 9. FC 2017'!$G$37:$N$37</c:f>
              <c:numCache>
                <c:formatCode>0%</c:formatCode>
                <c:ptCount val="8"/>
                <c:pt idx="0">
                  <c:v>0.1</c:v>
                </c:pt>
                <c:pt idx="1">
                  <c:v>0.1</c:v>
                </c:pt>
                <c:pt idx="2">
                  <c:v>0.1</c:v>
                </c:pt>
                <c:pt idx="3">
                  <c:v>0.1</c:v>
                </c:pt>
                <c:pt idx="4">
                  <c:v>0.1</c:v>
                </c:pt>
                <c:pt idx="5">
                  <c:v>0.1</c:v>
                </c:pt>
                <c:pt idx="6">
                  <c:v>0.1</c:v>
                </c:pt>
                <c:pt idx="7">
                  <c:v>0.1</c:v>
                </c:pt>
              </c:numCache>
            </c:numRef>
          </c:val>
          <c:smooth val="0"/>
          <c:extLst>
            <c:ext xmlns:c16="http://schemas.microsoft.com/office/drawing/2014/chart" uri="{C3380CC4-5D6E-409C-BE32-E72D297353CC}">
              <c16:uniqueId val="{00000001-AD2D-4B62-8B88-4B855F7496B4}"/>
            </c:ext>
          </c:extLst>
        </c:ser>
        <c:dLbls>
          <c:showLegendKey val="0"/>
          <c:showVal val="0"/>
          <c:showCatName val="0"/>
          <c:showSerName val="0"/>
          <c:showPercent val="0"/>
          <c:showBubbleSize val="0"/>
        </c:dLbls>
        <c:smooth val="0"/>
        <c:axId val="683650720"/>
        <c:axId val="683651112"/>
      </c:lineChart>
      <c:catAx>
        <c:axId val="683650720"/>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51112"/>
        <c:crosses val="autoZero"/>
        <c:auto val="1"/>
        <c:lblAlgn val="ctr"/>
        <c:lblOffset val="100"/>
        <c:noMultiLvlLbl val="0"/>
      </c:catAx>
      <c:valAx>
        <c:axId val="683651112"/>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683650720"/>
        <c:crosses val="autoZero"/>
        <c:crossBetween val="between"/>
      </c:valAx>
    </c:plotArea>
    <c:legend>
      <c:legendPos val="r"/>
      <c:legendEntry>
        <c:idx val="0"/>
        <c:txPr>
          <a:bodyPr/>
          <a:lstStyle/>
          <a:p>
            <a:pPr>
              <a:defRPr sz="1400"/>
            </a:pPr>
            <a:endParaRPr lang="es-CO"/>
          </a:p>
        </c:txPr>
      </c:legendEntry>
      <c:layout>
        <c:manualLayout>
          <c:xMode val="edge"/>
          <c:yMode val="edge"/>
          <c:x val="0.52119298244817114"/>
          <c:y val="8.8641416258177383E-2"/>
          <c:w val="0.23659112670185711"/>
          <c:h val="0.3943518680433063"/>
        </c:manualLayout>
      </c:layout>
      <c:overlay val="0"/>
      <c:txPr>
        <a:bodyPr/>
        <a:lstStyle/>
        <a:p>
          <a:pPr>
            <a:defRPr lang="he-IL" sz="1400"/>
          </a:pPr>
          <a:endParaRPr lang="es-CO"/>
        </a:p>
      </c:txPr>
    </c:legend>
    <c:plotVisOnly val="1"/>
    <c:dispBlanksAs val="gap"/>
    <c:showDLblsOverMax val="0"/>
  </c:chart>
  <c:printSettings>
    <c:headerFooter/>
    <c:pageMargins b="0.75000000000000855" l="0.70000000000000062" r="0.70000000000000062" t="0.75000000000000855" header="0.30000000000000032" footer="0.30000000000000032"/>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4191764534453692E-2"/>
          <c:y val="4.6423091441653498E-2"/>
          <c:w val="0.89801180230937871"/>
          <c:h val="0.90715381711669296"/>
        </c:manualLayout>
      </c:layout>
      <c:lineChart>
        <c:grouping val="standard"/>
        <c:varyColors val="0"/>
        <c:ser>
          <c:idx val="0"/>
          <c:order val="0"/>
          <c:tx>
            <c:strRef>
              <c:f>'Hoja 9. FC 2017'!$A$65:$F$65</c:f>
              <c:strCache>
                <c:ptCount val="6"/>
                <c:pt idx="0">
                  <c:v>Porcentaje (%) de Incremento de Ingresos por Sobretasa Ambiental entre Vigencias</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9. FC 2017'!$G$64:$L$64</c:f>
              <c:numCache>
                <c:formatCode>General</c:formatCode>
                <c:ptCount val="6"/>
                <c:pt idx="0">
                  <c:v>2012</c:v>
                </c:pt>
                <c:pt idx="1">
                  <c:v>2013</c:v>
                </c:pt>
                <c:pt idx="2">
                  <c:v>2014</c:v>
                </c:pt>
                <c:pt idx="3">
                  <c:v>2015</c:v>
                </c:pt>
                <c:pt idx="4">
                  <c:v>2016</c:v>
                </c:pt>
                <c:pt idx="5">
                  <c:v>2017</c:v>
                </c:pt>
              </c:numCache>
            </c:numRef>
          </c:cat>
          <c:val>
            <c:numRef>
              <c:f>'Hoja 9. FC 2017'!$G$65:$L$65</c:f>
              <c:numCache>
                <c:formatCode>0%</c:formatCode>
                <c:ptCount val="6"/>
                <c:pt idx="0">
                  <c:v>0.42</c:v>
                </c:pt>
                <c:pt idx="1">
                  <c:v>-0.02</c:v>
                </c:pt>
                <c:pt idx="2">
                  <c:v>0.30283658480772591</c:v>
                </c:pt>
                <c:pt idx="3" formatCode="0.0%">
                  <c:v>-0.16498104671568431</c:v>
                </c:pt>
                <c:pt idx="4" formatCode="0.0%">
                  <c:v>8.2045728227859063E-2</c:v>
                </c:pt>
                <c:pt idx="5" formatCode="0.0%">
                  <c:v>8.6284226535601499E-2</c:v>
                </c:pt>
              </c:numCache>
            </c:numRef>
          </c:val>
          <c:smooth val="1"/>
          <c:extLst>
            <c:ext xmlns:c16="http://schemas.microsoft.com/office/drawing/2014/chart" uri="{C3380CC4-5D6E-409C-BE32-E72D297353CC}">
              <c16:uniqueId val="{00000000-31F2-4A9D-9E64-9F1C79CEE74A}"/>
            </c:ext>
          </c:extLst>
        </c:ser>
        <c:ser>
          <c:idx val="1"/>
          <c:order val="1"/>
          <c:tx>
            <c:strRef>
              <c:f>'Hoja 9. FC 2017'!$A$66:$F$66</c:f>
              <c:strCache>
                <c:ptCount val="6"/>
                <c:pt idx="0">
                  <c:v>Meta</c:v>
                </c:pt>
              </c:strCache>
            </c:strRef>
          </c:tx>
          <c:spPr>
            <a:ln w="38100">
              <a:solidFill>
                <a:srgbClr val="FF0000"/>
              </a:solidFill>
              <a:prstDash val="dashDot"/>
            </a:ln>
          </c:spPr>
          <c:marker>
            <c:symbol val="none"/>
          </c:marker>
          <c:cat>
            <c:numRef>
              <c:f>'Hoja 9. FC 2017'!$G$64:$L$64</c:f>
              <c:numCache>
                <c:formatCode>General</c:formatCode>
                <c:ptCount val="6"/>
                <c:pt idx="0">
                  <c:v>2012</c:v>
                </c:pt>
                <c:pt idx="1">
                  <c:v>2013</c:v>
                </c:pt>
                <c:pt idx="2">
                  <c:v>2014</c:v>
                </c:pt>
                <c:pt idx="3">
                  <c:v>2015</c:v>
                </c:pt>
                <c:pt idx="4">
                  <c:v>2016</c:v>
                </c:pt>
                <c:pt idx="5">
                  <c:v>2017</c:v>
                </c:pt>
              </c:numCache>
            </c:numRef>
          </c:cat>
          <c:val>
            <c:numRef>
              <c:f>'Hoja 9. FC 2017'!$G$66:$L$66</c:f>
              <c:numCache>
                <c:formatCode>0%</c:formatCode>
                <c:ptCount val="6"/>
                <c:pt idx="0">
                  <c:v>0.1</c:v>
                </c:pt>
                <c:pt idx="1">
                  <c:v>0.1</c:v>
                </c:pt>
                <c:pt idx="2">
                  <c:v>0.1</c:v>
                </c:pt>
                <c:pt idx="3">
                  <c:v>0.1</c:v>
                </c:pt>
                <c:pt idx="4">
                  <c:v>0.1</c:v>
                </c:pt>
                <c:pt idx="5">
                  <c:v>0.1</c:v>
                </c:pt>
              </c:numCache>
            </c:numRef>
          </c:val>
          <c:smooth val="0"/>
          <c:extLst>
            <c:ext xmlns:c16="http://schemas.microsoft.com/office/drawing/2014/chart" uri="{C3380CC4-5D6E-409C-BE32-E72D297353CC}">
              <c16:uniqueId val="{00000001-31F2-4A9D-9E64-9F1C79CEE74A}"/>
            </c:ext>
          </c:extLst>
        </c:ser>
        <c:dLbls>
          <c:showLegendKey val="0"/>
          <c:showVal val="0"/>
          <c:showCatName val="0"/>
          <c:showSerName val="0"/>
          <c:showPercent val="0"/>
          <c:showBubbleSize val="0"/>
        </c:dLbls>
        <c:smooth val="0"/>
        <c:axId val="683658168"/>
        <c:axId val="683667184"/>
      </c:lineChart>
      <c:catAx>
        <c:axId val="683658168"/>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67184"/>
        <c:crosses val="autoZero"/>
        <c:auto val="1"/>
        <c:lblAlgn val="ctr"/>
        <c:lblOffset val="100"/>
        <c:noMultiLvlLbl val="0"/>
      </c:catAx>
      <c:valAx>
        <c:axId val="683667184"/>
        <c:scaling>
          <c:orientation val="minMax"/>
          <c:min val="-0.1"/>
        </c:scaling>
        <c:delete val="0"/>
        <c:axPos val="l"/>
        <c:majorGridlines/>
        <c:numFmt formatCode="0%" sourceLinked="1"/>
        <c:majorTickMark val="out"/>
        <c:minorTickMark val="none"/>
        <c:tickLblPos val="nextTo"/>
        <c:txPr>
          <a:bodyPr/>
          <a:lstStyle/>
          <a:p>
            <a:pPr>
              <a:defRPr lang="he-IL" sz="1800"/>
            </a:pPr>
            <a:endParaRPr lang="es-CO"/>
          </a:p>
        </c:txPr>
        <c:crossAx val="683658168"/>
        <c:crosses val="autoZero"/>
        <c:crossBetween val="between"/>
      </c:valAx>
    </c:plotArea>
    <c:legend>
      <c:legendPos val="r"/>
      <c:legendEntry>
        <c:idx val="0"/>
        <c:txPr>
          <a:bodyPr/>
          <a:lstStyle/>
          <a:p>
            <a:pPr>
              <a:defRPr sz="1400"/>
            </a:pPr>
            <a:endParaRPr lang="es-CO"/>
          </a:p>
        </c:txPr>
      </c:legendEntry>
      <c:layout>
        <c:manualLayout>
          <c:xMode val="edge"/>
          <c:yMode val="edge"/>
          <c:x val="0.45287048984958184"/>
          <c:y val="6.653445834858622E-2"/>
          <c:w val="0.25021793439086137"/>
          <c:h val="0.40097953520892005"/>
        </c:manualLayout>
      </c:layout>
      <c:overlay val="0"/>
      <c:txPr>
        <a:bodyPr/>
        <a:lstStyle/>
        <a:p>
          <a:pPr>
            <a:defRPr lang="he-IL" sz="1400"/>
          </a:pPr>
          <a:endParaRPr lang="es-CO"/>
        </a:p>
      </c:txPr>
    </c:legend>
    <c:plotVisOnly val="1"/>
    <c:dispBlanksAs val="gap"/>
    <c:showDLblsOverMax val="0"/>
  </c:chart>
  <c:printSettings>
    <c:headerFooter/>
    <c:pageMargins b="0.75000000000000877" l="0.70000000000000062" r="0.70000000000000062" t="0.75000000000000877" header="0.30000000000000032" footer="0.30000000000000032"/>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17031589541308"/>
          <c:y val="7.4016112569262174E-2"/>
          <c:w val="0.61729082006869374"/>
          <c:h val="0.69600320793234149"/>
        </c:manualLayout>
      </c:layout>
      <c:lineChart>
        <c:grouping val="standard"/>
        <c:varyColors val="0"/>
        <c:ser>
          <c:idx val="0"/>
          <c:order val="0"/>
          <c:tx>
            <c:strRef>
              <c:f>'Hoja 9. FC2'!$A$26:$F$26</c:f>
              <c:strCache>
                <c:ptCount val="6"/>
                <c:pt idx="0">
                  <c:v>Porcentaje (%) de Incremento de Cartera Recuperada entre Vigencias</c:v>
                </c:pt>
              </c:strCache>
            </c:strRef>
          </c:tx>
          <c:spPr>
            <a:ln w="38100">
              <a:solidFill>
                <a:schemeClr val="accent6">
                  <a:lumMod val="75000"/>
                </a:schemeClr>
              </a:solidFill>
              <a:prstDash val="sys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9. FC2'!$G$25:$L$25</c:f>
              <c:numCache>
                <c:formatCode>General</c:formatCode>
                <c:ptCount val="6"/>
                <c:pt idx="0">
                  <c:v>2010</c:v>
                </c:pt>
                <c:pt idx="1">
                  <c:v>2011</c:v>
                </c:pt>
                <c:pt idx="2">
                  <c:v>2012</c:v>
                </c:pt>
                <c:pt idx="3">
                  <c:v>2013</c:v>
                </c:pt>
                <c:pt idx="4">
                  <c:v>2014</c:v>
                </c:pt>
                <c:pt idx="5">
                  <c:v>2015</c:v>
                </c:pt>
              </c:numCache>
            </c:numRef>
          </c:cat>
          <c:val>
            <c:numRef>
              <c:f>'Hoja 9. FC2'!$G$26:$L$26</c:f>
              <c:numCache>
                <c:formatCode>0%</c:formatCode>
                <c:ptCount val="6"/>
                <c:pt idx="0">
                  <c:v>0.33</c:v>
                </c:pt>
                <c:pt idx="1">
                  <c:v>0.05</c:v>
                </c:pt>
                <c:pt idx="2">
                  <c:v>-0.47</c:v>
                </c:pt>
                <c:pt idx="3">
                  <c:v>0.12</c:v>
                </c:pt>
                <c:pt idx="4">
                  <c:v>0.18179586314500834</c:v>
                </c:pt>
                <c:pt idx="5">
                  <c:v>-0.15837266940443898</c:v>
                </c:pt>
              </c:numCache>
            </c:numRef>
          </c:val>
          <c:smooth val="0"/>
          <c:extLst>
            <c:ext xmlns:c16="http://schemas.microsoft.com/office/drawing/2014/chart" uri="{C3380CC4-5D6E-409C-BE32-E72D297353CC}">
              <c16:uniqueId val="{00000000-5610-4449-A360-3D830210AEE0}"/>
            </c:ext>
          </c:extLst>
        </c:ser>
        <c:ser>
          <c:idx val="1"/>
          <c:order val="1"/>
          <c:tx>
            <c:strRef>
              <c:f>'Hoja 9. FC2'!$A$27:$F$27</c:f>
              <c:strCache>
                <c:ptCount val="6"/>
                <c:pt idx="0">
                  <c:v>Meta</c:v>
                </c:pt>
              </c:strCache>
            </c:strRef>
          </c:tx>
          <c:spPr>
            <a:ln w="38100">
              <a:solidFill>
                <a:srgbClr val="FF0000"/>
              </a:solidFill>
            </a:ln>
          </c:spPr>
          <c:marker>
            <c:symbol val="none"/>
          </c:marker>
          <c:cat>
            <c:numRef>
              <c:f>'Hoja 9. FC2'!$G$25:$L$25</c:f>
              <c:numCache>
                <c:formatCode>General</c:formatCode>
                <c:ptCount val="6"/>
                <c:pt idx="0">
                  <c:v>2010</c:v>
                </c:pt>
                <c:pt idx="1">
                  <c:v>2011</c:v>
                </c:pt>
                <c:pt idx="2">
                  <c:v>2012</c:v>
                </c:pt>
                <c:pt idx="3">
                  <c:v>2013</c:v>
                </c:pt>
                <c:pt idx="4">
                  <c:v>2014</c:v>
                </c:pt>
                <c:pt idx="5">
                  <c:v>2015</c:v>
                </c:pt>
              </c:numCache>
            </c:numRef>
          </c:cat>
          <c:val>
            <c:numRef>
              <c:f>'Hoja 9. FC2'!$G$27:$L$27</c:f>
              <c:numCache>
                <c:formatCode>0%</c:formatCode>
                <c:ptCount val="6"/>
                <c:pt idx="0">
                  <c:v>0.1</c:v>
                </c:pt>
                <c:pt idx="1">
                  <c:v>0.1</c:v>
                </c:pt>
                <c:pt idx="2">
                  <c:v>0.1</c:v>
                </c:pt>
                <c:pt idx="3">
                  <c:v>0.1</c:v>
                </c:pt>
                <c:pt idx="4">
                  <c:v>0.1</c:v>
                </c:pt>
                <c:pt idx="5">
                  <c:v>0.1</c:v>
                </c:pt>
              </c:numCache>
            </c:numRef>
          </c:val>
          <c:smooth val="0"/>
          <c:extLst>
            <c:ext xmlns:c16="http://schemas.microsoft.com/office/drawing/2014/chart" uri="{C3380CC4-5D6E-409C-BE32-E72D297353CC}">
              <c16:uniqueId val="{00000001-5610-4449-A360-3D830210AEE0}"/>
            </c:ext>
          </c:extLst>
        </c:ser>
        <c:dLbls>
          <c:showLegendKey val="0"/>
          <c:showVal val="0"/>
          <c:showCatName val="0"/>
          <c:showSerName val="0"/>
          <c:showPercent val="0"/>
          <c:showBubbleSize val="0"/>
        </c:dLbls>
        <c:smooth val="0"/>
        <c:axId val="683672672"/>
        <c:axId val="683666792"/>
      </c:lineChart>
      <c:catAx>
        <c:axId val="683672672"/>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66792"/>
        <c:crosses val="autoZero"/>
        <c:auto val="1"/>
        <c:lblAlgn val="ctr"/>
        <c:lblOffset val="100"/>
        <c:noMultiLvlLbl val="0"/>
      </c:catAx>
      <c:valAx>
        <c:axId val="683666792"/>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683672672"/>
        <c:crosses val="autoZero"/>
        <c:crossBetween val="between"/>
      </c:valAx>
    </c:plotArea>
    <c:legend>
      <c:legendPos val="r"/>
      <c:legendEntry>
        <c:idx val="0"/>
        <c:txPr>
          <a:bodyPr/>
          <a:lstStyle/>
          <a:p>
            <a:pPr>
              <a:defRPr sz="1400"/>
            </a:pPr>
            <a:endParaRPr lang="es-CO"/>
          </a:p>
        </c:txPr>
      </c:legendEntry>
      <c:layout>
        <c:manualLayout>
          <c:xMode val="edge"/>
          <c:yMode val="edge"/>
          <c:x val="0.7592115154915986"/>
          <c:y val="1.5587634878973461E-3"/>
          <c:w val="0.23659112670185711"/>
          <c:h val="0.79063939924176141"/>
        </c:manualLayout>
      </c:layout>
      <c:overlay val="0"/>
      <c:txPr>
        <a:bodyPr/>
        <a:lstStyle/>
        <a:p>
          <a:pPr>
            <a:defRPr lang="he-IL" sz="1400"/>
          </a:pPr>
          <a:endParaRPr lang="es-CO"/>
        </a:p>
      </c:txPr>
    </c:legend>
    <c:plotVisOnly val="1"/>
    <c:dispBlanksAs val="gap"/>
    <c:showDLblsOverMax val="0"/>
  </c:chart>
  <c:printSettings>
    <c:headerFooter/>
    <c:pageMargins b="0.75000000000000866" l="0.70000000000000062" r="0.70000000000000062" t="0.75000000000000866" header="0.30000000000000032" footer="0.30000000000000032"/>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9. FC2'!$A$50:$F$50</c:f>
              <c:strCache>
                <c:ptCount val="6"/>
                <c:pt idx="0">
                  <c:v>Porcentaje (%) de Incremento de Ingresos por Sobretasa Ambiental entre Vigencias</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9. FC2'!$G$49:$J$49</c:f>
              <c:numCache>
                <c:formatCode>General</c:formatCode>
                <c:ptCount val="4"/>
                <c:pt idx="0">
                  <c:v>2012</c:v>
                </c:pt>
                <c:pt idx="1">
                  <c:v>2013</c:v>
                </c:pt>
                <c:pt idx="2">
                  <c:v>2014</c:v>
                </c:pt>
                <c:pt idx="3">
                  <c:v>2015</c:v>
                </c:pt>
              </c:numCache>
            </c:numRef>
          </c:cat>
          <c:val>
            <c:numRef>
              <c:f>'Hoja 9. FC2'!$G$50:$J$50</c:f>
              <c:numCache>
                <c:formatCode>0%</c:formatCode>
                <c:ptCount val="4"/>
                <c:pt idx="0">
                  <c:v>0.42</c:v>
                </c:pt>
                <c:pt idx="1">
                  <c:v>-0.02</c:v>
                </c:pt>
                <c:pt idx="2">
                  <c:v>0.30283658480772591</c:v>
                </c:pt>
                <c:pt idx="3" formatCode="0.0%">
                  <c:v>-7.6754228710622678E-3</c:v>
                </c:pt>
              </c:numCache>
            </c:numRef>
          </c:val>
          <c:smooth val="0"/>
          <c:extLst>
            <c:ext xmlns:c16="http://schemas.microsoft.com/office/drawing/2014/chart" uri="{C3380CC4-5D6E-409C-BE32-E72D297353CC}">
              <c16:uniqueId val="{00000000-9745-4EF0-9F38-47412BED2545}"/>
            </c:ext>
          </c:extLst>
        </c:ser>
        <c:ser>
          <c:idx val="1"/>
          <c:order val="1"/>
          <c:tx>
            <c:strRef>
              <c:f>'Hoja 9. FC2'!$A$51:$F$51</c:f>
              <c:strCache>
                <c:ptCount val="6"/>
                <c:pt idx="0">
                  <c:v>Meta</c:v>
                </c:pt>
              </c:strCache>
            </c:strRef>
          </c:tx>
          <c:spPr>
            <a:ln w="38100">
              <a:solidFill>
                <a:srgbClr val="FF0000"/>
              </a:solidFill>
            </a:ln>
          </c:spPr>
          <c:marker>
            <c:symbol val="none"/>
          </c:marker>
          <c:cat>
            <c:numRef>
              <c:f>'Hoja 9. FC2'!$G$49:$J$49</c:f>
              <c:numCache>
                <c:formatCode>General</c:formatCode>
                <c:ptCount val="4"/>
                <c:pt idx="0">
                  <c:v>2012</c:v>
                </c:pt>
                <c:pt idx="1">
                  <c:v>2013</c:v>
                </c:pt>
                <c:pt idx="2">
                  <c:v>2014</c:v>
                </c:pt>
                <c:pt idx="3">
                  <c:v>2015</c:v>
                </c:pt>
              </c:numCache>
            </c:numRef>
          </c:cat>
          <c:val>
            <c:numRef>
              <c:f>'Hoja 9. FC2'!$G$51:$J$51</c:f>
              <c:numCache>
                <c:formatCode>0%</c:formatCode>
                <c:ptCount val="4"/>
                <c:pt idx="0">
                  <c:v>0.1</c:v>
                </c:pt>
                <c:pt idx="1">
                  <c:v>0.1</c:v>
                </c:pt>
                <c:pt idx="2">
                  <c:v>0.1</c:v>
                </c:pt>
                <c:pt idx="3">
                  <c:v>0.1</c:v>
                </c:pt>
              </c:numCache>
            </c:numRef>
          </c:val>
          <c:smooth val="0"/>
          <c:extLst>
            <c:ext xmlns:c16="http://schemas.microsoft.com/office/drawing/2014/chart" uri="{C3380CC4-5D6E-409C-BE32-E72D297353CC}">
              <c16:uniqueId val="{00000001-9745-4EF0-9F38-47412BED2545}"/>
            </c:ext>
          </c:extLst>
        </c:ser>
        <c:dLbls>
          <c:showLegendKey val="0"/>
          <c:showVal val="0"/>
          <c:showCatName val="0"/>
          <c:showSerName val="0"/>
          <c:showPercent val="0"/>
          <c:showBubbleSize val="0"/>
        </c:dLbls>
        <c:smooth val="0"/>
        <c:axId val="683664832"/>
        <c:axId val="683674240"/>
      </c:lineChart>
      <c:catAx>
        <c:axId val="683664832"/>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74240"/>
        <c:crosses val="autoZero"/>
        <c:auto val="1"/>
        <c:lblAlgn val="ctr"/>
        <c:lblOffset val="100"/>
        <c:noMultiLvlLbl val="0"/>
      </c:catAx>
      <c:valAx>
        <c:axId val="683674240"/>
        <c:scaling>
          <c:orientation val="minMax"/>
          <c:min val="-0.1"/>
        </c:scaling>
        <c:delete val="0"/>
        <c:axPos val="l"/>
        <c:majorGridlines/>
        <c:numFmt formatCode="0%" sourceLinked="1"/>
        <c:majorTickMark val="out"/>
        <c:minorTickMark val="none"/>
        <c:tickLblPos val="nextTo"/>
        <c:txPr>
          <a:bodyPr/>
          <a:lstStyle/>
          <a:p>
            <a:pPr>
              <a:defRPr lang="he-IL" sz="1800"/>
            </a:pPr>
            <a:endParaRPr lang="es-CO"/>
          </a:p>
        </c:txPr>
        <c:crossAx val="683664832"/>
        <c:crosses val="autoZero"/>
        <c:crossBetween val="between"/>
      </c:valAx>
    </c:plotArea>
    <c:legend>
      <c:legendPos val="r"/>
      <c:legendEntry>
        <c:idx val="0"/>
        <c:txPr>
          <a:bodyPr/>
          <a:lstStyle/>
          <a:p>
            <a:pPr>
              <a:defRPr sz="1400"/>
            </a:pPr>
            <a:endParaRPr lang="es-CO"/>
          </a:p>
        </c:txPr>
      </c:legendEntry>
      <c:layout>
        <c:manualLayout>
          <c:xMode val="edge"/>
          <c:yMode val="edge"/>
          <c:x val="0.73291909085318274"/>
          <c:y val="3.7636494706647296E-2"/>
          <c:w val="0.25021793439086137"/>
          <c:h val="0.56068397663351677"/>
        </c:manualLayout>
      </c:layout>
      <c:overlay val="0"/>
      <c:txPr>
        <a:bodyPr/>
        <a:lstStyle/>
        <a:p>
          <a:pPr>
            <a:defRPr lang="he-IL" sz="1400"/>
          </a:pPr>
          <a:endParaRPr lang="es-CO"/>
        </a:p>
      </c:txPr>
    </c:legend>
    <c:plotVisOnly val="1"/>
    <c:dispBlanksAs val="gap"/>
    <c:showDLblsOverMax val="0"/>
  </c:chart>
  <c:printSettings>
    <c:headerFooter/>
    <c:pageMargins b="0.75000000000000888" l="0.70000000000000062" r="0.70000000000000062" t="0.75000000000000888" header="0.30000000000000032" footer="0.30000000000000032"/>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17031589541308"/>
          <c:y val="7.4016112569262174E-2"/>
          <c:w val="0.54843185586518062"/>
          <c:h val="0.69600320793234149"/>
        </c:manualLayout>
      </c:layout>
      <c:barChart>
        <c:barDir val="col"/>
        <c:grouping val="clustered"/>
        <c:varyColors val="0"/>
        <c:ser>
          <c:idx val="0"/>
          <c:order val="0"/>
          <c:tx>
            <c:strRef>
              <c:f>'Hoja 10. LABORATORIO DE AGUA'!$A$39:$F$39</c:f>
              <c:strCache>
                <c:ptCount val="6"/>
                <c:pt idx="0">
                  <c:v>% de Pruebas PICCAP Instituto Nacional de Salud Aprobadas</c:v>
                </c:pt>
              </c:strCache>
            </c:strRef>
          </c:tx>
          <c:spPr>
            <a:ln w="28575">
              <a:solidFill>
                <a:schemeClr val="tx2">
                  <a:lumMod val="60000"/>
                  <a:lumOff val="40000"/>
                </a:schemeClr>
              </a:solidFill>
            </a:ln>
          </c:spPr>
          <c:invertIfNegative val="0"/>
          <c:cat>
            <c:numRef>
              <c:f>'Hoja 10. LABORATORIO DE AGUA'!$G$38:$M$38</c:f>
              <c:numCache>
                <c:formatCode>General</c:formatCode>
                <c:ptCount val="7"/>
                <c:pt idx="0">
                  <c:v>2012</c:v>
                </c:pt>
                <c:pt idx="1">
                  <c:v>2013</c:v>
                </c:pt>
                <c:pt idx="2">
                  <c:v>2014</c:v>
                </c:pt>
                <c:pt idx="3">
                  <c:v>2015</c:v>
                </c:pt>
                <c:pt idx="4">
                  <c:v>2016</c:v>
                </c:pt>
                <c:pt idx="5">
                  <c:v>2017</c:v>
                </c:pt>
              </c:numCache>
            </c:numRef>
          </c:cat>
          <c:val>
            <c:numRef>
              <c:f>'Hoja 10. LABORATORIO DE AGUA'!$G$39:$M$39</c:f>
              <c:numCache>
                <c:formatCode>0%</c:formatCode>
                <c:ptCount val="7"/>
                <c:pt idx="0">
                  <c:v>0.92</c:v>
                </c:pt>
                <c:pt idx="1">
                  <c:v>0.99</c:v>
                </c:pt>
                <c:pt idx="2">
                  <c:v>1</c:v>
                </c:pt>
                <c:pt idx="3">
                  <c:v>1</c:v>
                </c:pt>
                <c:pt idx="4">
                  <c:v>0</c:v>
                </c:pt>
                <c:pt idx="5">
                  <c:v>0</c:v>
                </c:pt>
              </c:numCache>
            </c:numRef>
          </c:val>
          <c:extLst>
            <c:ext xmlns:c16="http://schemas.microsoft.com/office/drawing/2014/chart" uri="{C3380CC4-5D6E-409C-BE32-E72D297353CC}">
              <c16:uniqueId val="{00000000-072C-4E69-AB13-DBC7F04C66AA}"/>
            </c:ext>
          </c:extLst>
        </c:ser>
        <c:ser>
          <c:idx val="1"/>
          <c:order val="1"/>
          <c:tx>
            <c:strRef>
              <c:f>'Hoja 10. LABORATORIO DE AGUA'!$A$40:$F$40</c:f>
              <c:strCache>
                <c:ptCount val="6"/>
                <c:pt idx="0">
                  <c:v>% de Pruebas IDEAM Aprobadas</c:v>
                </c:pt>
              </c:strCache>
            </c:strRef>
          </c:tx>
          <c:spPr>
            <a:ln w="28575"/>
          </c:spPr>
          <c:invertIfNegative val="0"/>
          <c:cat>
            <c:numRef>
              <c:f>'Hoja 10. LABORATORIO DE AGUA'!$G$38:$M$38</c:f>
              <c:numCache>
                <c:formatCode>General</c:formatCode>
                <c:ptCount val="7"/>
                <c:pt idx="0">
                  <c:v>2012</c:v>
                </c:pt>
                <c:pt idx="1">
                  <c:v>2013</c:v>
                </c:pt>
                <c:pt idx="2">
                  <c:v>2014</c:v>
                </c:pt>
                <c:pt idx="3">
                  <c:v>2015</c:v>
                </c:pt>
                <c:pt idx="4">
                  <c:v>2016</c:v>
                </c:pt>
                <c:pt idx="5">
                  <c:v>2017</c:v>
                </c:pt>
              </c:numCache>
            </c:numRef>
          </c:cat>
          <c:val>
            <c:numRef>
              <c:f>'Hoja 10. LABORATORIO DE AGUA'!$G$40:$M$40</c:f>
              <c:numCache>
                <c:formatCode>0%</c:formatCode>
                <c:ptCount val="7"/>
                <c:pt idx="0">
                  <c:v>1</c:v>
                </c:pt>
                <c:pt idx="1">
                  <c:v>0.92</c:v>
                </c:pt>
                <c:pt idx="2">
                  <c:v>0.91</c:v>
                </c:pt>
                <c:pt idx="3">
                  <c:v>1</c:v>
                </c:pt>
                <c:pt idx="4">
                  <c:v>0</c:v>
                </c:pt>
                <c:pt idx="5">
                  <c:v>0</c:v>
                </c:pt>
              </c:numCache>
            </c:numRef>
          </c:val>
          <c:extLst>
            <c:ext xmlns:c16="http://schemas.microsoft.com/office/drawing/2014/chart" uri="{C3380CC4-5D6E-409C-BE32-E72D297353CC}">
              <c16:uniqueId val="{00000001-072C-4E69-AB13-DBC7F04C66AA}"/>
            </c:ext>
          </c:extLst>
        </c:ser>
        <c:ser>
          <c:idx val="2"/>
          <c:order val="2"/>
          <c:tx>
            <c:strRef>
              <c:f>'Hoja 10. LABORATORIO DE AGUA'!$A$41:$F$41</c:f>
              <c:strCache>
                <c:ptCount val="6"/>
                <c:pt idx="0">
                  <c:v>% de Pruebas Laboratorio Departamental de Salud Pública Aprobadas</c:v>
                </c:pt>
              </c:strCache>
            </c:strRef>
          </c:tx>
          <c:spPr>
            <a:ln w="28575">
              <a:solidFill>
                <a:srgbClr val="FFC000"/>
              </a:solidFill>
            </a:ln>
          </c:spPr>
          <c:invertIfNegative val="0"/>
          <c:cat>
            <c:numRef>
              <c:f>'Hoja 10. LABORATORIO DE AGUA'!$G$38:$M$38</c:f>
              <c:numCache>
                <c:formatCode>General</c:formatCode>
                <c:ptCount val="7"/>
                <c:pt idx="0">
                  <c:v>2012</c:v>
                </c:pt>
                <c:pt idx="1">
                  <c:v>2013</c:v>
                </c:pt>
                <c:pt idx="2">
                  <c:v>2014</c:v>
                </c:pt>
                <c:pt idx="3">
                  <c:v>2015</c:v>
                </c:pt>
                <c:pt idx="4">
                  <c:v>2016</c:v>
                </c:pt>
                <c:pt idx="5">
                  <c:v>2017</c:v>
                </c:pt>
              </c:numCache>
            </c:numRef>
          </c:cat>
          <c:val>
            <c:numRef>
              <c:f>'Hoja 10. LABORATORIO DE AGUA'!$G$41:$H$41</c:f>
            </c:numRef>
          </c:val>
          <c:extLst>
            <c:ext xmlns:c16="http://schemas.microsoft.com/office/drawing/2014/chart" uri="{C3380CC4-5D6E-409C-BE32-E72D297353CC}">
              <c16:uniqueId val="{00000002-072C-4E69-AB13-DBC7F04C66AA}"/>
            </c:ext>
          </c:extLst>
        </c:ser>
        <c:ser>
          <c:idx val="3"/>
          <c:order val="3"/>
          <c:tx>
            <c:strRef>
              <c:f>'Hoja 10. LABORATORIO DE AGUA'!$A$42:$F$42</c:f>
              <c:strCache>
                <c:ptCount val="6"/>
                <c:pt idx="0">
                  <c:v>% de Pruebas Otros Aprobadas</c:v>
                </c:pt>
              </c:strCache>
            </c:strRef>
          </c:tx>
          <c:spPr>
            <a:ln>
              <a:solidFill>
                <a:srgbClr val="66FF99"/>
              </a:solidFill>
            </a:ln>
          </c:spPr>
          <c:invertIfNegative val="0"/>
          <c:cat>
            <c:numRef>
              <c:f>'Hoja 10. LABORATORIO DE AGUA'!$G$38:$M$38</c:f>
              <c:numCache>
                <c:formatCode>General</c:formatCode>
                <c:ptCount val="7"/>
                <c:pt idx="0">
                  <c:v>2012</c:v>
                </c:pt>
                <c:pt idx="1">
                  <c:v>2013</c:v>
                </c:pt>
                <c:pt idx="2">
                  <c:v>2014</c:v>
                </c:pt>
                <c:pt idx="3">
                  <c:v>2015</c:v>
                </c:pt>
                <c:pt idx="4">
                  <c:v>2016</c:v>
                </c:pt>
                <c:pt idx="5">
                  <c:v>2017</c:v>
                </c:pt>
              </c:numCache>
            </c:numRef>
          </c:cat>
          <c:val>
            <c:numRef>
              <c:f>'Hoja 10. LABORATORIO DE AGUA'!$G$42:$I$42</c:f>
            </c:numRef>
          </c:val>
          <c:extLst>
            <c:ext xmlns:c16="http://schemas.microsoft.com/office/drawing/2014/chart" uri="{C3380CC4-5D6E-409C-BE32-E72D297353CC}">
              <c16:uniqueId val="{00000003-072C-4E69-AB13-DBC7F04C66AA}"/>
            </c:ext>
          </c:extLst>
        </c:ser>
        <c:dLbls>
          <c:showLegendKey val="0"/>
          <c:showVal val="0"/>
          <c:showCatName val="0"/>
          <c:showSerName val="0"/>
          <c:showPercent val="0"/>
          <c:showBubbleSize val="0"/>
        </c:dLbls>
        <c:gapWidth val="150"/>
        <c:axId val="683671888"/>
        <c:axId val="683668360"/>
      </c:barChart>
      <c:lineChart>
        <c:grouping val="standard"/>
        <c:varyColors val="0"/>
        <c:ser>
          <c:idx val="4"/>
          <c:order val="4"/>
          <c:tx>
            <c:strRef>
              <c:f>'Hoja 10. LABORATORIO DE AGUA'!$A$43:$F$43</c:f>
              <c:strCache>
                <c:ptCount val="6"/>
                <c:pt idx="0">
                  <c:v>Total Pruebas de Intercalibración Aprobadas</c:v>
                </c:pt>
              </c:strCache>
            </c:strRef>
          </c:tx>
          <c:spPr>
            <a:ln w="38100">
              <a:solidFill>
                <a:schemeClr val="accent6">
                  <a:lumMod val="75000"/>
                </a:schemeClr>
              </a:solidFill>
              <a:prstDash val="dash"/>
            </a:ln>
          </c:spPr>
          <c:marker>
            <c:symbol val="none"/>
          </c:marker>
          <c:dLbls>
            <c:spPr>
              <a:noFill/>
              <a:ln>
                <a:noFill/>
              </a:ln>
              <a:effectLst/>
            </c:spPr>
            <c:txPr>
              <a:bodyPr/>
              <a:lstStyle/>
              <a:p>
                <a:pPr>
                  <a:defRPr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10. LABORATORIO DE AGUA'!$G$38:$M$38</c:f>
              <c:numCache>
                <c:formatCode>General</c:formatCode>
                <c:ptCount val="7"/>
                <c:pt idx="0">
                  <c:v>2012</c:v>
                </c:pt>
                <c:pt idx="1">
                  <c:v>2013</c:v>
                </c:pt>
                <c:pt idx="2">
                  <c:v>2014</c:v>
                </c:pt>
                <c:pt idx="3">
                  <c:v>2015</c:v>
                </c:pt>
                <c:pt idx="4">
                  <c:v>2016</c:v>
                </c:pt>
                <c:pt idx="5">
                  <c:v>2017</c:v>
                </c:pt>
              </c:numCache>
            </c:numRef>
          </c:cat>
          <c:val>
            <c:numRef>
              <c:f>'Hoja 10. LABORATORIO DE AGUA'!$G$43:$M$43</c:f>
              <c:numCache>
                <c:formatCode>0%</c:formatCode>
                <c:ptCount val="7"/>
                <c:pt idx="0">
                  <c:v>0.93</c:v>
                </c:pt>
                <c:pt idx="1">
                  <c:v>0.98</c:v>
                </c:pt>
                <c:pt idx="2">
                  <c:v>0.95</c:v>
                </c:pt>
                <c:pt idx="3">
                  <c:v>0.95</c:v>
                </c:pt>
                <c:pt idx="4">
                  <c:v>0</c:v>
                </c:pt>
                <c:pt idx="5">
                  <c:v>0</c:v>
                </c:pt>
              </c:numCache>
            </c:numRef>
          </c:val>
          <c:smooth val="1"/>
          <c:extLst>
            <c:ext xmlns:c16="http://schemas.microsoft.com/office/drawing/2014/chart" uri="{C3380CC4-5D6E-409C-BE32-E72D297353CC}">
              <c16:uniqueId val="{00000004-072C-4E69-AB13-DBC7F04C66AA}"/>
            </c:ext>
          </c:extLst>
        </c:ser>
        <c:ser>
          <c:idx val="5"/>
          <c:order val="5"/>
          <c:tx>
            <c:strRef>
              <c:f>'Hoja 10. LABORATORIO DE AGUA'!$A$44:$F$44</c:f>
              <c:strCache>
                <c:ptCount val="6"/>
                <c:pt idx="0">
                  <c:v>Meta</c:v>
                </c:pt>
              </c:strCache>
            </c:strRef>
          </c:tx>
          <c:spPr>
            <a:ln>
              <a:solidFill>
                <a:srgbClr val="FF0000"/>
              </a:solidFill>
              <a:prstDash val="dashDot"/>
            </a:ln>
          </c:spPr>
          <c:marker>
            <c:symbol val="none"/>
          </c:marker>
          <c:cat>
            <c:numRef>
              <c:f>'Hoja 10. LABORATORIO DE AGUA'!$G$38:$M$38</c:f>
              <c:numCache>
                <c:formatCode>General</c:formatCode>
                <c:ptCount val="7"/>
                <c:pt idx="0">
                  <c:v>2012</c:v>
                </c:pt>
                <c:pt idx="1">
                  <c:v>2013</c:v>
                </c:pt>
                <c:pt idx="2">
                  <c:v>2014</c:v>
                </c:pt>
                <c:pt idx="3">
                  <c:v>2015</c:v>
                </c:pt>
                <c:pt idx="4">
                  <c:v>2016</c:v>
                </c:pt>
                <c:pt idx="5">
                  <c:v>2017</c:v>
                </c:pt>
              </c:numCache>
            </c:numRef>
          </c:cat>
          <c:val>
            <c:numRef>
              <c:f>'Hoja 10. LABORATORIO DE AGUA'!$G$44:$M$44</c:f>
              <c:numCache>
                <c:formatCode>0%</c:formatCode>
                <c:ptCount val="7"/>
                <c:pt idx="0">
                  <c:v>0.95</c:v>
                </c:pt>
                <c:pt idx="1">
                  <c:v>0.95</c:v>
                </c:pt>
                <c:pt idx="2">
                  <c:v>0.95</c:v>
                </c:pt>
                <c:pt idx="3">
                  <c:v>0.95</c:v>
                </c:pt>
                <c:pt idx="4">
                  <c:v>0</c:v>
                </c:pt>
                <c:pt idx="5">
                  <c:v>0</c:v>
                </c:pt>
              </c:numCache>
            </c:numRef>
          </c:val>
          <c:smooth val="0"/>
          <c:extLst>
            <c:ext xmlns:c16="http://schemas.microsoft.com/office/drawing/2014/chart" uri="{C3380CC4-5D6E-409C-BE32-E72D297353CC}">
              <c16:uniqueId val="{00000005-072C-4E69-AB13-DBC7F04C66AA}"/>
            </c:ext>
          </c:extLst>
        </c:ser>
        <c:dLbls>
          <c:showLegendKey val="0"/>
          <c:showVal val="0"/>
          <c:showCatName val="0"/>
          <c:showSerName val="0"/>
          <c:showPercent val="0"/>
          <c:showBubbleSize val="0"/>
        </c:dLbls>
        <c:marker val="1"/>
        <c:smooth val="0"/>
        <c:axId val="683671888"/>
        <c:axId val="683668360"/>
      </c:lineChart>
      <c:catAx>
        <c:axId val="683671888"/>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68360"/>
        <c:crosses val="autoZero"/>
        <c:auto val="1"/>
        <c:lblAlgn val="ctr"/>
        <c:lblOffset val="100"/>
        <c:noMultiLvlLbl val="0"/>
      </c:catAx>
      <c:valAx>
        <c:axId val="683668360"/>
        <c:scaling>
          <c:orientation val="minMax"/>
          <c:min val="0.4"/>
        </c:scaling>
        <c:delete val="0"/>
        <c:axPos val="l"/>
        <c:majorGridlines/>
        <c:numFmt formatCode="0%" sourceLinked="1"/>
        <c:majorTickMark val="out"/>
        <c:minorTickMark val="none"/>
        <c:tickLblPos val="nextTo"/>
        <c:txPr>
          <a:bodyPr/>
          <a:lstStyle/>
          <a:p>
            <a:pPr>
              <a:defRPr lang="he-IL" sz="1800"/>
            </a:pPr>
            <a:endParaRPr lang="es-CO"/>
          </a:p>
        </c:txPr>
        <c:crossAx val="683671888"/>
        <c:crosses val="autoZero"/>
        <c:crossBetween val="between"/>
      </c:valAx>
    </c:plotArea>
    <c:legend>
      <c:legendPos val="r"/>
      <c:legendEntry>
        <c:idx val="0"/>
        <c:txPr>
          <a:bodyPr/>
          <a:lstStyle/>
          <a:p>
            <a:pPr>
              <a:defRPr sz="1400"/>
            </a:pPr>
            <a:endParaRPr lang="es-CO"/>
          </a:p>
        </c:txPr>
      </c:legendEntry>
      <c:layout>
        <c:manualLayout>
          <c:xMode val="edge"/>
          <c:yMode val="edge"/>
          <c:x val="0.69661713572932071"/>
          <c:y val="1.5587634878973461E-3"/>
          <c:w val="0.30338286072449916"/>
          <c:h val="0.2650892918894337"/>
        </c:manualLayout>
      </c:layout>
      <c:overlay val="0"/>
      <c:spPr>
        <a:ln w="19050"/>
      </c:spPr>
      <c:txPr>
        <a:bodyPr/>
        <a:lstStyle/>
        <a:p>
          <a:pPr>
            <a:defRPr lang="he-IL" sz="1400"/>
          </a:pPr>
          <a:endParaRPr lang="es-CO"/>
        </a:p>
      </c:txPr>
    </c:legend>
    <c:plotVisOnly val="1"/>
    <c:dispBlanksAs val="gap"/>
    <c:showDLblsOverMax val="0"/>
  </c:chart>
  <c:printSettings>
    <c:headerFooter/>
    <c:pageMargins b="0.7500000000000091" l="0.70000000000000062" r="0.70000000000000062" t="0.7500000000000091" header="0.30000000000000032" footer="0.30000000000000032"/>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'Hoja 10. LABORATORIO DE AGUA'!$A$73:$F$73</c:f>
              <c:strCache>
                <c:ptCount val="6"/>
                <c:pt idx="0">
                  <c:v>Análisis microbiológicos y/o potables elaborados en un tiempo máximo de siete (7) días hábiles.</c:v>
                </c:pt>
              </c:strCache>
            </c:strRef>
          </c:tx>
          <c:spPr>
            <a:ln w="28575">
              <a:solidFill>
                <a:srgbClr val="0070C0"/>
              </a:solidFill>
            </a:ln>
          </c:spPr>
          <c:invertIfNegative val="0"/>
          <c:cat>
            <c:numRef>
              <c:f>'Hoja 10. LABORATORIO DE AGUA'!$G$72:$M$72</c:f>
              <c:numCache>
                <c:formatCode>General</c:formatCode>
                <c:ptCount val="7"/>
                <c:pt idx="0">
                  <c:v>2010</c:v>
                </c:pt>
                <c:pt idx="1">
                  <c:v>2011</c:v>
                </c:pt>
                <c:pt idx="2">
                  <c:v>2012</c:v>
                </c:pt>
                <c:pt idx="3">
                  <c:v>2013</c:v>
                </c:pt>
                <c:pt idx="4">
                  <c:v>2014</c:v>
                </c:pt>
                <c:pt idx="5">
                  <c:v>2015</c:v>
                </c:pt>
                <c:pt idx="6">
                  <c:v>2016</c:v>
                </c:pt>
              </c:numCache>
            </c:numRef>
          </c:cat>
          <c:val>
            <c:numRef>
              <c:f>'Hoja 10. LABORATORIO DE AGUA'!$G$73:$M$73</c:f>
              <c:numCache>
                <c:formatCode>0%</c:formatCode>
                <c:ptCount val="7"/>
                <c:pt idx="0">
                  <c:v>0.97</c:v>
                </c:pt>
                <c:pt idx="1">
                  <c:v>0.91</c:v>
                </c:pt>
                <c:pt idx="2" formatCode="0.00%">
                  <c:v>0.99509999999999998</c:v>
                </c:pt>
                <c:pt idx="3" formatCode="0.00%">
                  <c:v>0.73709999999999998</c:v>
                </c:pt>
                <c:pt idx="4">
                  <c:v>1</c:v>
                </c:pt>
                <c:pt idx="5">
                  <c:v>0.89495086411385971</c:v>
                </c:pt>
                <c:pt idx="6">
                  <c:v>0.6426380368098159</c:v>
                </c:pt>
              </c:numCache>
            </c:numRef>
          </c:val>
          <c:extLst>
            <c:ext xmlns:c16="http://schemas.microsoft.com/office/drawing/2014/chart" uri="{C3380CC4-5D6E-409C-BE32-E72D297353CC}">
              <c16:uniqueId val="{00000000-6FC6-49A8-9098-58747BAD4C5E}"/>
            </c:ext>
          </c:extLst>
        </c:ser>
        <c:ser>
          <c:idx val="1"/>
          <c:order val="1"/>
          <c:tx>
            <c:strRef>
              <c:f>'Hoja 10. LABORATORIO DE AGUA'!$A$74:$F$74</c:f>
              <c:strCache>
                <c:ptCount val="6"/>
                <c:pt idx="0">
                  <c:v>Análisis Concesiones de aguas y/o permisos de vertimientos elaborados en un tiempo máximo de diez (10) días hábiles.Concesiones de aguas y/o permisos de vertimientos elaborados en un tiempo máximo de diez (10) días hábiles.</c:v>
                </c:pt>
              </c:strCache>
            </c:strRef>
          </c:tx>
          <c:invertIfNegative val="0"/>
          <c:cat>
            <c:numRef>
              <c:f>'Hoja 10. LABORATORIO DE AGUA'!$G$72:$M$72</c:f>
              <c:numCache>
                <c:formatCode>General</c:formatCode>
                <c:ptCount val="7"/>
                <c:pt idx="0">
                  <c:v>2010</c:v>
                </c:pt>
                <c:pt idx="1">
                  <c:v>2011</c:v>
                </c:pt>
                <c:pt idx="2">
                  <c:v>2012</c:v>
                </c:pt>
                <c:pt idx="3">
                  <c:v>2013</c:v>
                </c:pt>
                <c:pt idx="4">
                  <c:v>2014</c:v>
                </c:pt>
                <c:pt idx="5">
                  <c:v>2015</c:v>
                </c:pt>
                <c:pt idx="6">
                  <c:v>2016</c:v>
                </c:pt>
              </c:numCache>
            </c:numRef>
          </c:cat>
          <c:val>
            <c:numRef>
              <c:f>'Hoja 10. LABORATORIO DE AGUA'!$G$74:$M$74</c:f>
              <c:numCache>
                <c:formatCode>0%</c:formatCode>
                <c:ptCount val="7"/>
                <c:pt idx="0">
                  <c:v>1</c:v>
                </c:pt>
                <c:pt idx="1">
                  <c:v>0.96</c:v>
                </c:pt>
                <c:pt idx="2">
                  <c:v>0.94</c:v>
                </c:pt>
                <c:pt idx="3">
                  <c:v>0.68</c:v>
                </c:pt>
                <c:pt idx="4">
                  <c:v>1</c:v>
                </c:pt>
                <c:pt idx="5">
                  <c:v>0.83718371837183714</c:v>
                </c:pt>
                <c:pt idx="6">
                  <c:v>0.58307926829268297</c:v>
                </c:pt>
              </c:numCache>
            </c:numRef>
          </c:val>
          <c:extLst>
            <c:ext xmlns:c16="http://schemas.microsoft.com/office/drawing/2014/chart" uri="{C3380CC4-5D6E-409C-BE32-E72D297353CC}">
              <c16:uniqueId val="{00000001-6FC6-49A8-9098-58747BAD4C5E}"/>
            </c:ext>
          </c:extLst>
        </c:ser>
        <c:dLbls>
          <c:showLegendKey val="0"/>
          <c:showVal val="0"/>
          <c:showCatName val="0"/>
          <c:showSerName val="0"/>
          <c:showPercent val="0"/>
          <c:showBubbleSize val="0"/>
        </c:dLbls>
        <c:gapWidth val="150"/>
        <c:axId val="683662480"/>
        <c:axId val="683662872"/>
      </c:barChart>
      <c:lineChart>
        <c:grouping val="standard"/>
        <c:varyColors val="0"/>
        <c:ser>
          <c:idx val="2"/>
          <c:order val="2"/>
          <c:tx>
            <c:strRef>
              <c:f>'Hoja 10. LABORATORIO DE AGUA'!$A$75:$F$75</c:f>
              <c:strCache>
                <c:ptCount val="6"/>
                <c:pt idx="0">
                  <c:v>Total Análisis</c:v>
                </c:pt>
              </c:strCache>
            </c:strRef>
          </c:tx>
          <c:spPr>
            <a:ln w="38100">
              <a:solidFill>
                <a:schemeClr val="accent6">
                  <a:lumMod val="75000"/>
                </a:schemeClr>
              </a:solidFill>
              <a:prstDash val="dash"/>
            </a:ln>
          </c:spPr>
          <c:marker>
            <c:symbol val="none"/>
          </c:marker>
          <c:dLbls>
            <c:spPr>
              <a:noFill/>
              <a:ln>
                <a:noFill/>
              </a:ln>
              <a:effectLst/>
            </c:spPr>
            <c:txPr>
              <a:bodyPr/>
              <a:lstStyle/>
              <a:p>
                <a:pPr>
                  <a:defRPr sz="20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10. LABORATORIO DE AGUA'!$G$72:$M$72</c:f>
              <c:numCache>
                <c:formatCode>General</c:formatCode>
                <c:ptCount val="7"/>
                <c:pt idx="0">
                  <c:v>2010</c:v>
                </c:pt>
                <c:pt idx="1">
                  <c:v>2011</c:v>
                </c:pt>
                <c:pt idx="2">
                  <c:v>2012</c:v>
                </c:pt>
                <c:pt idx="3">
                  <c:v>2013</c:v>
                </c:pt>
                <c:pt idx="4">
                  <c:v>2014</c:v>
                </c:pt>
                <c:pt idx="5">
                  <c:v>2015</c:v>
                </c:pt>
                <c:pt idx="6">
                  <c:v>2016</c:v>
                </c:pt>
              </c:numCache>
            </c:numRef>
          </c:cat>
          <c:val>
            <c:numRef>
              <c:f>'Hoja 10. LABORATORIO DE AGUA'!$G$75:$M$75</c:f>
              <c:numCache>
                <c:formatCode>0%</c:formatCode>
                <c:ptCount val="7"/>
                <c:pt idx="0">
                  <c:v>0.97</c:v>
                </c:pt>
                <c:pt idx="1">
                  <c:v>0.92</c:v>
                </c:pt>
                <c:pt idx="2">
                  <c:v>0.97</c:v>
                </c:pt>
                <c:pt idx="3">
                  <c:v>0.72</c:v>
                </c:pt>
                <c:pt idx="4">
                  <c:v>1</c:v>
                </c:pt>
                <c:pt idx="5">
                  <c:v>0.8813471502590674</c:v>
                </c:pt>
                <c:pt idx="6">
                  <c:v>0.62270408163265301</c:v>
                </c:pt>
              </c:numCache>
            </c:numRef>
          </c:val>
          <c:smooth val="1"/>
          <c:extLst>
            <c:ext xmlns:c16="http://schemas.microsoft.com/office/drawing/2014/chart" uri="{C3380CC4-5D6E-409C-BE32-E72D297353CC}">
              <c16:uniqueId val="{00000002-6FC6-49A8-9098-58747BAD4C5E}"/>
            </c:ext>
          </c:extLst>
        </c:ser>
        <c:ser>
          <c:idx val="3"/>
          <c:order val="3"/>
          <c:tx>
            <c:strRef>
              <c:f>'Hoja 10. LABORATORIO DE AGUA'!$A$76:$F$76</c:f>
              <c:strCache>
                <c:ptCount val="6"/>
                <c:pt idx="0">
                  <c:v>Meta</c:v>
                </c:pt>
              </c:strCache>
            </c:strRef>
          </c:tx>
          <c:spPr>
            <a:ln w="38100">
              <a:solidFill>
                <a:srgbClr val="FF0000"/>
              </a:solidFill>
              <a:prstDash val="dashDot"/>
            </a:ln>
          </c:spPr>
          <c:marker>
            <c:symbol val="none"/>
          </c:marker>
          <c:cat>
            <c:numRef>
              <c:f>'Hoja 10. LABORATORIO DE AGUA'!$G$72:$M$72</c:f>
              <c:numCache>
                <c:formatCode>General</c:formatCode>
                <c:ptCount val="7"/>
                <c:pt idx="0">
                  <c:v>2010</c:v>
                </c:pt>
                <c:pt idx="1">
                  <c:v>2011</c:v>
                </c:pt>
                <c:pt idx="2">
                  <c:v>2012</c:v>
                </c:pt>
                <c:pt idx="3">
                  <c:v>2013</c:v>
                </c:pt>
                <c:pt idx="4">
                  <c:v>2014</c:v>
                </c:pt>
                <c:pt idx="5">
                  <c:v>2015</c:v>
                </c:pt>
                <c:pt idx="6">
                  <c:v>2016</c:v>
                </c:pt>
              </c:numCache>
            </c:numRef>
          </c:cat>
          <c:val>
            <c:numRef>
              <c:f>'Hoja 10. LABORATORIO DE AGUA'!$G$76:$M$76</c:f>
              <c:numCache>
                <c:formatCode>0%</c:formatCode>
                <c:ptCount val="7"/>
                <c:pt idx="0">
                  <c:v>0.9</c:v>
                </c:pt>
                <c:pt idx="1">
                  <c:v>0.9</c:v>
                </c:pt>
                <c:pt idx="2">
                  <c:v>0.9</c:v>
                </c:pt>
                <c:pt idx="3">
                  <c:v>0.9</c:v>
                </c:pt>
                <c:pt idx="4">
                  <c:v>0.9</c:v>
                </c:pt>
                <c:pt idx="5">
                  <c:v>0.9</c:v>
                </c:pt>
                <c:pt idx="6">
                  <c:v>0.9</c:v>
                </c:pt>
              </c:numCache>
            </c:numRef>
          </c:val>
          <c:smooth val="1"/>
          <c:extLst>
            <c:ext xmlns:c16="http://schemas.microsoft.com/office/drawing/2014/chart" uri="{C3380CC4-5D6E-409C-BE32-E72D297353CC}">
              <c16:uniqueId val="{00000003-6FC6-49A8-9098-58747BAD4C5E}"/>
            </c:ext>
          </c:extLst>
        </c:ser>
        <c:dLbls>
          <c:showLegendKey val="0"/>
          <c:showVal val="0"/>
          <c:showCatName val="0"/>
          <c:showSerName val="0"/>
          <c:showPercent val="0"/>
          <c:showBubbleSize val="0"/>
        </c:dLbls>
        <c:marker val="1"/>
        <c:smooth val="0"/>
        <c:axId val="683662480"/>
        <c:axId val="683662872"/>
      </c:lineChart>
      <c:catAx>
        <c:axId val="683662480"/>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62872"/>
        <c:crosses val="autoZero"/>
        <c:auto val="1"/>
        <c:lblAlgn val="ctr"/>
        <c:lblOffset val="100"/>
        <c:noMultiLvlLbl val="0"/>
      </c:catAx>
      <c:valAx>
        <c:axId val="683662872"/>
        <c:scaling>
          <c:orientation val="minMax"/>
          <c:min val="0.6000000000000002"/>
        </c:scaling>
        <c:delete val="0"/>
        <c:axPos val="l"/>
        <c:majorGridlines/>
        <c:numFmt formatCode="0%" sourceLinked="1"/>
        <c:majorTickMark val="out"/>
        <c:minorTickMark val="none"/>
        <c:tickLblPos val="nextTo"/>
        <c:txPr>
          <a:bodyPr/>
          <a:lstStyle/>
          <a:p>
            <a:pPr>
              <a:defRPr lang="he-IL" sz="1800"/>
            </a:pPr>
            <a:endParaRPr lang="es-CO"/>
          </a:p>
        </c:txPr>
        <c:crossAx val="683662480"/>
        <c:crosses val="autoZero"/>
        <c:crossBetween val="between"/>
      </c:valAx>
    </c:plotArea>
    <c:legend>
      <c:legendPos val="r"/>
      <c:legendEntry>
        <c:idx val="0"/>
        <c:txPr>
          <a:bodyPr/>
          <a:lstStyle/>
          <a:p>
            <a:pPr>
              <a:defRPr sz="1400"/>
            </a:pPr>
            <a:endParaRPr lang="es-CO"/>
          </a:p>
        </c:txPr>
      </c:legendEntry>
      <c:layout>
        <c:manualLayout>
          <c:xMode val="edge"/>
          <c:yMode val="edge"/>
          <c:x val="0.65833334685897971"/>
          <c:y val="5.4261285516041787E-3"/>
          <c:w val="0.33157676883002563"/>
          <c:h val="0.98036175694852901"/>
        </c:manualLayout>
      </c:layout>
      <c:overlay val="0"/>
      <c:txPr>
        <a:bodyPr/>
        <a:lstStyle/>
        <a:p>
          <a:pPr>
            <a:defRPr lang="he-IL" sz="1400"/>
          </a:pPr>
          <a:endParaRPr lang="es-CO"/>
        </a:p>
      </c:txPr>
    </c:legend>
    <c:plotVisOnly val="1"/>
    <c:dispBlanksAs val="gap"/>
    <c:showDLblsOverMax val="0"/>
  </c:chart>
  <c:printSettings>
    <c:headerFooter/>
    <c:pageMargins b="0.75000000000000933" l="0.70000000000000062" r="0.70000000000000062" t="0.75000000000000933" header="0.30000000000000032" footer="0.30000000000000032"/>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10. LABORATORIO DE AGUA'!$A$154:$F$154</c:f>
              <c:strCache>
                <c:ptCount val="6"/>
                <c:pt idx="0">
                  <c:v>Porcentaje (%) de Encuesta de Satisfacción Calificadas por los Usuarios de Análisis de Aguas con una Nota Superior o Igual a Tres Punto ocho (3.8) Sobre Cinco (5.0)</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10. LABORATORIO DE AGUA'!$G$153:$N$153</c:f>
              <c:numCache>
                <c:formatCode>General</c:formatCode>
                <c:ptCount val="8"/>
                <c:pt idx="0">
                  <c:v>2009</c:v>
                </c:pt>
                <c:pt idx="1">
                  <c:v>2010</c:v>
                </c:pt>
                <c:pt idx="2">
                  <c:v>2011</c:v>
                </c:pt>
                <c:pt idx="3">
                  <c:v>2012</c:v>
                </c:pt>
                <c:pt idx="4">
                  <c:v>2013</c:v>
                </c:pt>
                <c:pt idx="5">
                  <c:v>2014</c:v>
                </c:pt>
                <c:pt idx="6">
                  <c:v>2015</c:v>
                </c:pt>
                <c:pt idx="7">
                  <c:v>2016</c:v>
                </c:pt>
              </c:numCache>
            </c:numRef>
          </c:cat>
          <c:val>
            <c:numRef>
              <c:f>'Hoja 10. LABORATORIO DE AGUA'!$G$154:$N$154</c:f>
              <c:numCache>
                <c:formatCode>0%</c:formatCode>
                <c:ptCount val="8"/>
                <c:pt idx="0">
                  <c:v>1</c:v>
                </c:pt>
                <c:pt idx="1">
                  <c:v>0.95</c:v>
                </c:pt>
                <c:pt idx="2">
                  <c:v>0.92</c:v>
                </c:pt>
                <c:pt idx="3">
                  <c:v>1</c:v>
                </c:pt>
                <c:pt idx="4">
                  <c:v>1</c:v>
                </c:pt>
                <c:pt idx="5">
                  <c:v>1</c:v>
                </c:pt>
                <c:pt idx="6">
                  <c:v>1</c:v>
                </c:pt>
                <c:pt idx="7">
                  <c:v>1</c:v>
                </c:pt>
              </c:numCache>
            </c:numRef>
          </c:val>
          <c:smooth val="1"/>
          <c:extLst>
            <c:ext xmlns:c16="http://schemas.microsoft.com/office/drawing/2014/chart" uri="{C3380CC4-5D6E-409C-BE32-E72D297353CC}">
              <c16:uniqueId val="{00000000-55C5-4636-8FC5-799BDA0BDC52}"/>
            </c:ext>
          </c:extLst>
        </c:ser>
        <c:ser>
          <c:idx val="1"/>
          <c:order val="1"/>
          <c:tx>
            <c:strRef>
              <c:f>'Hoja 10. LABORATORIO DE AGUA'!$A$155:$F$155</c:f>
              <c:strCache>
                <c:ptCount val="6"/>
                <c:pt idx="0">
                  <c:v>Meta</c:v>
                </c:pt>
              </c:strCache>
            </c:strRef>
          </c:tx>
          <c:spPr>
            <a:ln w="38100">
              <a:solidFill>
                <a:srgbClr val="FF0000"/>
              </a:solidFill>
              <a:prstDash val="dashDot"/>
            </a:ln>
          </c:spPr>
          <c:marker>
            <c:symbol val="none"/>
          </c:marker>
          <c:cat>
            <c:numRef>
              <c:f>'Hoja 10. LABORATORIO DE AGUA'!$G$153:$N$153</c:f>
              <c:numCache>
                <c:formatCode>General</c:formatCode>
                <c:ptCount val="8"/>
                <c:pt idx="0">
                  <c:v>2009</c:v>
                </c:pt>
                <c:pt idx="1">
                  <c:v>2010</c:v>
                </c:pt>
                <c:pt idx="2">
                  <c:v>2011</c:v>
                </c:pt>
                <c:pt idx="3">
                  <c:v>2012</c:v>
                </c:pt>
                <c:pt idx="4">
                  <c:v>2013</c:v>
                </c:pt>
                <c:pt idx="5">
                  <c:v>2014</c:v>
                </c:pt>
                <c:pt idx="6">
                  <c:v>2015</c:v>
                </c:pt>
                <c:pt idx="7">
                  <c:v>2016</c:v>
                </c:pt>
              </c:numCache>
            </c:numRef>
          </c:cat>
          <c:val>
            <c:numRef>
              <c:f>'Hoja 10. LABORATORIO DE AGUA'!$G$155:$N$155</c:f>
              <c:numCache>
                <c:formatCode>0%</c:formatCode>
                <c:ptCount val="8"/>
                <c:pt idx="0">
                  <c:v>0.95</c:v>
                </c:pt>
                <c:pt idx="1">
                  <c:v>0.95</c:v>
                </c:pt>
                <c:pt idx="2">
                  <c:v>0.95</c:v>
                </c:pt>
                <c:pt idx="3">
                  <c:v>0.95</c:v>
                </c:pt>
                <c:pt idx="4">
                  <c:v>0.95</c:v>
                </c:pt>
                <c:pt idx="5">
                  <c:v>0.95</c:v>
                </c:pt>
                <c:pt idx="6">
                  <c:v>0.95</c:v>
                </c:pt>
                <c:pt idx="7">
                  <c:v>0.97</c:v>
                </c:pt>
              </c:numCache>
            </c:numRef>
          </c:val>
          <c:smooth val="0"/>
          <c:extLst>
            <c:ext xmlns:c16="http://schemas.microsoft.com/office/drawing/2014/chart" uri="{C3380CC4-5D6E-409C-BE32-E72D297353CC}">
              <c16:uniqueId val="{00000001-55C5-4636-8FC5-799BDA0BDC52}"/>
            </c:ext>
          </c:extLst>
        </c:ser>
        <c:dLbls>
          <c:showLegendKey val="0"/>
          <c:showVal val="0"/>
          <c:showCatName val="0"/>
          <c:showSerName val="0"/>
          <c:showPercent val="0"/>
          <c:showBubbleSize val="0"/>
        </c:dLbls>
        <c:smooth val="0"/>
        <c:axId val="683667576"/>
        <c:axId val="683668752"/>
      </c:lineChart>
      <c:catAx>
        <c:axId val="683667576"/>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68752"/>
        <c:crosses val="autoZero"/>
        <c:auto val="1"/>
        <c:lblAlgn val="ctr"/>
        <c:lblOffset val="100"/>
        <c:noMultiLvlLbl val="0"/>
      </c:catAx>
      <c:valAx>
        <c:axId val="683668752"/>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683667576"/>
        <c:crosses val="autoZero"/>
        <c:crossBetween val="between"/>
      </c:valAx>
    </c:plotArea>
    <c:legend>
      <c:legendPos val="r"/>
      <c:legendEntry>
        <c:idx val="0"/>
        <c:txPr>
          <a:bodyPr/>
          <a:lstStyle/>
          <a:p>
            <a:pPr>
              <a:defRPr sz="1400"/>
            </a:pPr>
            <a:endParaRPr lang="es-CO"/>
          </a:p>
        </c:txPr>
      </c:legendEntry>
      <c:legendEntry>
        <c:idx val="1"/>
        <c:txPr>
          <a:bodyPr/>
          <a:lstStyle/>
          <a:p>
            <a:pPr>
              <a:defRPr lang="he-IL" sz="1400"/>
            </a:pPr>
            <a:endParaRPr lang="es-CO"/>
          </a:p>
        </c:txPr>
      </c:legendEntry>
      <c:layout>
        <c:manualLayout>
          <c:xMode val="edge"/>
          <c:yMode val="edge"/>
          <c:x val="0.6795228432909507"/>
          <c:y val="0.21560088321752555"/>
          <c:w val="0.29607462131826107"/>
          <c:h val="0.56060787437240278"/>
        </c:manualLayout>
      </c:layout>
      <c:overlay val="0"/>
      <c:txPr>
        <a:bodyPr/>
        <a:lstStyle/>
        <a:p>
          <a:pPr>
            <a:defRPr lang="he-IL" sz="1400"/>
          </a:pPr>
          <a:endParaRPr lang="es-CO"/>
        </a:p>
      </c:txPr>
    </c:legend>
    <c:plotVisOnly val="1"/>
    <c:dispBlanksAs val="gap"/>
    <c:showDLblsOverMax val="0"/>
  </c:chart>
  <c:printSettings>
    <c:headerFooter/>
    <c:pageMargins b="0.75000000000000955" l="0.70000000000000062" r="0.70000000000000062" t="0.75000000000000955" header="0.30000000000000032" footer="0.30000000000000032"/>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'Hoja 10. LABORATORIO DE AGUA'!$A$172:$F$172</c:f>
              <c:strCache>
                <c:ptCount val="6"/>
                <c:pt idx="0">
                  <c:v>Porcentaje (%) de Acciones Correctivas de Servicios No Conformes Establecidas Eficazmente</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10. LABORATORIO DE AGUA'!$G$171:$K$171</c:f>
              <c:numCache>
                <c:formatCode>General</c:formatCode>
                <c:ptCount val="5"/>
                <c:pt idx="0">
                  <c:v>2012</c:v>
                </c:pt>
                <c:pt idx="1">
                  <c:v>2013</c:v>
                </c:pt>
                <c:pt idx="2">
                  <c:v>2014</c:v>
                </c:pt>
                <c:pt idx="3">
                  <c:v>2015</c:v>
                </c:pt>
                <c:pt idx="4">
                  <c:v>2016</c:v>
                </c:pt>
              </c:numCache>
            </c:numRef>
          </c:cat>
          <c:val>
            <c:numRef>
              <c:f>'Hoja 10. LABORATORIO DE AGUA'!$G$172:$K$172</c:f>
              <c:numCache>
                <c:formatCode>0%</c:formatCode>
                <c:ptCount val="5"/>
                <c:pt idx="0">
                  <c:v>0.75</c:v>
                </c:pt>
                <c:pt idx="1">
                  <c:v>1</c:v>
                </c:pt>
                <c:pt idx="2">
                  <c:v>0.94</c:v>
                </c:pt>
                <c:pt idx="3">
                  <c:v>1</c:v>
                </c:pt>
                <c:pt idx="4">
                  <c:v>1</c:v>
                </c:pt>
              </c:numCache>
            </c:numRef>
          </c:val>
          <c:smooth val="1"/>
          <c:extLst>
            <c:ext xmlns:c16="http://schemas.microsoft.com/office/drawing/2014/chart" uri="{C3380CC4-5D6E-409C-BE32-E72D297353CC}">
              <c16:uniqueId val="{00000000-0D14-4CDC-ADED-EF5B3912D555}"/>
            </c:ext>
          </c:extLst>
        </c:ser>
        <c:ser>
          <c:idx val="1"/>
          <c:order val="1"/>
          <c:tx>
            <c:strRef>
              <c:f>'Hoja 10. LABORATORIO DE AGUA'!$A$173:$F$173</c:f>
              <c:strCache>
                <c:ptCount val="6"/>
                <c:pt idx="0">
                  <c:v>Meta</c:v>
                </c:pt>
              </c:strCache>
            </c:strRef>
          </c:tx>
          <c:spPr>
            <a:ln>
              <a:solidFill>
                <a:srgbClr val="FF0000"/>
              </a:solidFill>
              <a:prstDash val="dashDot"/>
            </a:ln>
          </c:spPr>
          <c:marker>
            <c:symbol val="none"/>
          </c:marker>
          <c:cat>
            <c:numRef>
              <c:f>'Hoja 10. LABORATORIO DE AGUA'!$G$171:$K$171</c:f>
              <c:numCache>
                <c:formatCode>General</c:formatCode>
                <c:ptCount val="5"/>
                <c:pt idx="0">
                  <c:v>2012</c:v>
                </c:pt>
                <c:pt idx="1">
                  <c:v>2013</c:v>
                </c:pt>
                <c:pt idx="2">
                  <c:v>2014</c:v>
                </c:pt>
                <c:pt idx="3">
                  <c:v>2015</c:v>
                </c:pt>
                <c:pt idx="4">
                  <c:v>2016</c:v>
                </c:pt>
              </c:numCache>
            </c:numRef>
          </c:cat>
          <c:val>
            <c:numRef>
              <c:f>'Hoja 10. LABORATORIO DE AGUA'!$G$173:$K$173</c:f>
              <c:numCache>
                <c:formatCode>0%</c:formatCode>
                <c:ptCount val="5"/>
                <c:pt idx="0">
                  <c:v>0.9</c:v>
                </c:pt>
                <c:pt idx="1">
                  <c:v>0.9</c:v>
                </c:pt>
                <c:pt idx="2">
                  <c:v>0.9</c:v>
                </c:pt>
                <c:pt idx="3">
                  <c:v>0.9</c:v>
                </c:pt>
                <c:pt idx="4">
                  <c:v>0.9</c:v>
                </c:pt>
              </c:numCache>
            </c:numRef>
          </c:val>
          <c:smooth val="0"/>
          <c:extLst>
            <c:ext xmlns:c16="http://schemas.microsoft.com/office/drawing/2014/chart" uri="{C3380CC4-5D6E-409C-BE32-E72D297353CC}">
              <c16:uniqueId val="{00000001-0D14-4CDC-ADED-EF5B3912D555}"/>
            </c:ext>
          </c:extLst>
        </c:ser>
        <c:ser>
          <c:idx val="2"/>
          <c:order val="2"/>
          <c:tx>
            <c:strRef>
              <c:f>'Hoja 10. LABORATORIO DE AGUA'!$A$174:$F$174</c:f>
              <c:strCache>
                <c:ptCount val="6"/>
                <c:pt idx="0">
                  <c:v>Meta</c:v>
                </c:pt>
              </c:strCache>
            </c:strRef>
          </c:tx>
          <c:marker>
            <c:symbol val="none"/>
          </c:marker>
          <c:cat>
            <c:numRef>
              <c:f>'Hoja 10. LABORATORIO DE AGUA'!$G$171:$K$171</c:f>
              <c:numCache>
                <c:formatCode>General</c:formatCode>
                <c:ptCount val="5"/>
                <c:pt idx="0">
                  <c:v>2012</c:v>
                </c:pt>
                <c:pt idx="1">
                  <c:v>2013</c:v>
                </c:pt>
                <c:pt idx="2">
                  <c:v>2014</c:v>
                </c:pt>
                <c:pt idx="3">
                  <c:v>2015</c:v>
                </c:pt>
                <c:pt idx="4">
                  <c:v>2016</c:v>
                </c:pt>
              </c:numCache>
            </c:numRef>
          </c:cat>
          <c:val>
            <c:numRef>
              <c:f>'Hoja 10. LABORATORIO DE AGUA'!$G$174:$K$174</c:f>
              <c:numCache>
                <c:formatCode>General</c:formatCode>
                <c:ptCount val="5"/>
              </c:numCache>
            </c:numRef>
          </c:val>
          <c:smooth val="0"/>
          <c:extLst>
            <c:ext xmlns:c16="http://schemas.microsoft.com/office/drawing/2014/chart" uri="{C3380CC4-5D6E-409C-BE32-E72D297353CC}">
              <c16:uniqueId val="{00000002-0D14-4CDC-ADED-EF5B3912D555}"/>
            </c:ext>
          </c:extLst>
        </c:ser>
        <c:dLbls>
          <c:showLegendKey val="0"/>
          <c:showVal val="0"/>
          <c:showCatName val="0"/>
          <c:showSerName val="0"/>
          <c:showPercent val="0"/>
          <c:showBubbleSize val="0"/>
        </c:dLbls>
        <c:smooth val="0"/>
        <c:axId val="683673456"/>
        <c:axId val="683669144"/>
      </c:lineChart>
      <c:catAx>
        <c:axId val="683673456"/>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69144"/>
        <c:crosses val="autoZero"/>
        <c:auto val="1"/>
        <c:lblAlgn val="ctr"/>
        <c:lblOffset val="100"/>
        <c:noMultiLvlLbl val="0"/>
      </c:catAx>
      <c:valAx>
        <c:axId val="683669144"/>
        <c:scaling>
          <c:orientation val="minMax"/>
        </c:scaling>
        <c:delete val="0"/>
        <c:axPos val="l"/>
        <c:majorGridlines/>
        <c:numFmt formatCode="0%" sourceLinked="1"/>
        <c:majorTickMark val="out"/>
        <c:minorTickMark val="none"/>
        <c:tickLblPos val="nextTo"/>
        <c:txPr>
          <a:bodyPr/>
          <a:lstStyle/>
          <a:p>
            <a:pPr>
              <a:defRPr lang="he-IL" sz="1800"/>
            </a:pPr>
            <a:endParaRPr lang="es-CO"/>
          </a:p>
        </c:txPr>
        <c:crossAx val="683673456"/>
        <c:crosses val="autoZero"/>
        <c:crossBetween val="between"/>
      </c:valAx>
    </c:plotArea>
    <c:legend>
      <c:legendPos val="r"/>
      <c:legendEntry>
        <c:idx val="0"/>
        <c:txPr>
          <a:bodyPr/>
          <a:lstStyle/>
          <a:p>
            <a:pPr>
              <a:defRPr sz="1400"/>
            </a:pPr>
            <a:endParaRPr lang="es-CO"/>
          </a:p>
        </c:txPr>
      </c:legendEntry>
      <c:layout>
        <c:manualLayout>
          <c:xMode val="edge"/>
          <c:yMode val="edge"/>
          <c:x val="0.65833333333333965"/>
          <c:y val="1.5587634878973461E-3"/>
          <c:w val="0.28072625537192469"/>
          <c:h val="0.56673773470623856"/>
        </c:manualLayout>
      </c:layout>
      <c:overlay val="0"/>
      <c:txPr>
        <a:bodyPr/>
        <a:lstStyle/>
        <a:p>
          <a:pPr>
            <a:defRPr lang="he-IL" sz="1400"/>
          </a:pPr>
          <a:endParaRPr lang="es-CO"/>
        </a:p>
      </c:txPr>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9216193790079321E-2"/>
          <c:y val="3.0853027924709509E-2"/>
          <c:w val="0.55028713195719836"/>
          <c:h val="0.89460439361729605"/>
        </c:manualLayout>
      </c:layout>
      <c:lineChart>
        <c:grouping val="standard"/>
        <c:varyColors val="0"/>
        <c:ser>
          <c:idx val="0"/>
          <c:order val="0"/>
          <c:tx>
            <c:strRef>
              <c:f>'Hoja 10. LABORATORIO DE AGUA'!$A$75:$F$75</c:f>
              <c:strCache>
                <c:ptCount val="6"/>
                <c:pt idx="0">
                  <c:v>Total Análisis</c:v>
                </c:pt>
              </c:strCache>
            </c:strRef>
          </c:tx>
          <c:spPr>
            <a:ln w="38100">
              <a:solidFill>
                <a:schemeClr val="accent6">
                  <a:lumMod val="75000"/>
                </a:schemeClr>
              </a:solidFill>
              <a:prstDash val="dash"/>
            </a:ln>
          </c:spPr>
          <c:marker>
            <c:symbol val="none"/>
          </c:marker>
          <c:dLbls>
            <c:spPr>
              <a:noFill/>
              <a:ln>
                <a:noFill/>
              </a:ln>
              <a:effectLst/>
            </c:spPr>
            <c:txPr>
              <a:bodyPr/>
              <a:lstStyle/>
              <a:p>
                <a:pPr>
                  <a:defRPr lang="he-IL" sz="1800"/>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10. LABORATORIO DE AGUA'!$G$72:$M$72</c:f>
              <c:numCache>
                <c:formatCode>General</c:formatCode>
                <c:ptCount val="7"/>
                <c:pt idx="0">
                  <c:v>2010</c:v>
                </c:pt>
                <c:pt idx="1">
                  <c:v>2011</c:v>
                </c:pt>
                <c:pt idx="2">
                  <c:v>2012</c:v>
                </c:pt>
                <c:pt idx="3">
                  <c:v>2013</c:v>
                </c:pt>
                <c:pt idx="4">
                  <c:v>2014</c:v>
                </c:pt>
                <c:pt idx="5">
                  <c:v>2015</c:v>
                </c:pt>
                <c:pt idx="6">
                  <c:v>2016</c:v>
                </c:pt>
              </c:numCache>
            </c:numRef>
          </c:cat>
          <c:val>
            <c:numRef>
              <c:f>'Hoja 10. LABORATORIO DE AGUA'!$G$75:$M$75</c:f>
              <c:numCache>
                <c:formatCode>0%</c:formatCode>
                <c:ptCount val="7"/>
                <c:pt idx="0">
                  <c:v>0.97</c:v>
                </c:pt>
                <c:pt idx="1">
                  <c:v>0.92</c:v>
                </c:pt>
                <c:pt idx="2">
                  <c:v>0.97</c:v>
                </c:pt>
                <c:pt idx="3">
                  <c:v>0.72</c:v>
                </c:pt>
                <c:pt idx="4">
                  <c:v>1</c:v>
                </c:pt>
                <c:pt idx="5">
                  <c:v>0.8813471502590674</c:v>
                </c:pt>
                <c:pt idx="6">
                  <c:v>0.62270408163265301</c:v>
                </c:pt>
              </c:numCache>
            </c:numRef>
          </c:val>
          <c:smooth val="1"/>
          <c:extLst>
            <c:ext xmlns:c16="http://schemas.microsoft.com/office/drawing/2014/chart" uri="{C3380CC4-5D6E-409C-BE32-E72D297353CC}">
              <c16:uniqueId val="{00000000-D184-4593-B7F7-83663349FE35}"/>
            </c:ext>
          </c:extLst>
        </c:ser>
        <c:ser>
          <c:idx val="1"/>
          <c:order val="1"/>
          <c:tx>
            <c:strRef>
              <c:f>'Hoja 10. LABORATORIO DE AGUA'!$A$76:$F$76</c:f>
              <c:strCache>
                <c:ptCount val="6"/>
                <c:pt idx="0">
                  <c:v>Meta</c:v>
                </c:pt>
              </c:strCache>
            </c:strRef>
          </c:tx>
          <c:spPr>
            <a:ln w="38100">
              <a:solidFill>
                <a:srgbClr val="FF0000"/>
              </a:solidFill>
              <a:prstDash val="dashDot"/>
            </a:ln>
          </c:spPr>
          <c:marker>
            <c:symbol val="none"/>
          </c:marker>
          <c:cat>
            <c:numRef>
              <c:f>'Hoja 10. LABORATORIO DE AGUA'!$G$72:$M$72</c:f>
              <c:numCache>
                <c:formatCode>General</c:formatCode>
                <c:ptCount val="7"/>
                <c:pt idx="0">
                  <c:v>2010</c:v>
                </c:pt>
                <c:pt idx="1">
                  <c:v>2011</c:v>
                </c:pt>
                <c:pt idx="2">
                  <c:v>2012</c:v>
                </c:pt>
                <c:pt idx="3">
                  <c:v>2013</c:v>
                </c:pt>
                <c:pt idx="4">
                  <c:v>2014</c:v>
                </c:pt>
                <c:pt idx="5">
                  <c:v>2015</c:v>
                </c:pt>
                <c:pt idx="6">
                  <c:v>2016</c:v>
                </c:pt>
              </c:numCache>
            </c:numRef>
          </c:cat>
          <c:val>
            <c:numRef>
              <c:f>'Hoja 10. LABORATORIO DE AGUA'!$G$76:$M$76</c:f>
              <c:numCache>
                <c:formatCode>0%</c:formatCode>
                <c:ptCount val="7"/>
                <c:pt idx="0">
                  <c:v>0.9</c:v>
                </c:pt>
                <c:pt idx="1">
                  <c:v>0.9</c:v>
                </c:pt>
                <c:pt idx="2">
                  <c:v>0.9</c:v>
                </c:pt>
                <c:pt idx="3">
                  <c:v>0.9</c:v>
                </c:pt>
                <c:pt idx="4">
                  <c:v>0.9</c:v>
                </c:pt>
                <c:pt idx="5">
                  <c:v>0.9</c:v>
                </c:pt>
                <c:pt idx="6">
                  <c:v>0.9</c:v>
                </c:pt>
              </c:numCache>
            </c:numRef>
          </c:val>
          <c:smooth val="0"/>
          <c:extLst>
            <c:ext xmlns:c16="http://schemas.microsoft.com/office/drawing/2014/chart" uri="{C3380CC4-5D6E-409C-BE32-E72D297353CC}">
              <c16:uniqueId val="{00000001-D184-4593-B7F7-83663349FE35}"/>
            </c:ext>
          </c:extLst>
        </c:ser>
        <c:dLbls>
          <c:showLegendKey val="0"/>
          <c:showVal val="0"/>
          <c:showCatName val="0"/>
          <c:showSerName val="0"/>
          <c:showPercent val="0"/>
          <c:showBubbleSize val="0"/>
        </c:dLbls>
        <c:smooth val="0"/>
        <c:axId val="683669536"/>
        <c:axId val="683663656"/>
      </c:lineChart>
      <c:catAx>
        <c:axId val="683669536"/>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63656"/>
        <c:crosses val="autoZero"/>
        <c:auto val="1"/>
        <c:lblAlgn val="ctr"/>
        <c:lblOffset val="100"/>
        <c:noMultiLvlLbl val="0"/>
      </c:catAx>
      <c:valAx>
        <c:axId val="683663656"/>
        <c:scaling>
          <c:orientation val="minMax"/>
          <c:min val="0.6000000000000002"/>
        </c:scaling>
        <c:delete val="0"/>
        <c:axPos val="l"/>
        <c:majorGridlines/>
        <c:numFmt formatCode="0%" sourceLinked="1"/>
        <c:majorTickMark val="out"/>
        <c:minorTickMark val="none"/>
        <c:tickLblPos val="nextTo"/>
        <c:txPr>
          <a:bodyPr/>
          <a:lstStyle/>
          <a:p>
            <a:pPr>
              <a:defRPr lang="he-IL" sz="1800"/>
            </a:pPr>
            <a:endParaRPr lang="es-CO"/>
          </a:p>
        </c:txPr>
        <c:crossAx val="683669536"/>
        <c:crosses val="autoZero"/>
        <c:crossBetween val="between"/>
      </c:valAx>
    </c:plotArea>
    <c:legend>
      <c:legendPos val="r"/>
      <c:legendEntry>
        <c:idx val="0"/>
        <c:txPr>
          <a:bodyPr/>
          <a:lstStyle/>
          <a:p>
            <a:pPr>
              <a:defRPr sz="1400"/>
            </a:pPr>
            <a:endParaRPr lang="es-CO"/>
          </a:p>
        </c:txPr>
      </c:legendEntry>
      <c:layout>
        <c:manualLayout>
          <c:xMode val="edge"/>
          <c:yMode val="edge"/>
          <c:x val="0.66715592716475169"/>
          <c:y val="5.4261285516041787E-3"/>
          <c:w val="0.20533640508083531"/>
          <c:h val="0.96295412372331202"/>
        </c:manualLayout>
      </c:layout>
      <c:overlay val="0"/>
      <c:txPr>
        <a:bodyPr/>
        <a:lstStyle/>
        <a:p>
          <a:pPr>
            <a:defRPr lang="he-IL" sz="1400"/>
          </a:pPr>
          <a:endParaRPr lang="es-CO"/>
        </a:p>
      </c:txPr>
    </c:legend>
    <c:plotVisOnly val="1"/>
    <c:dispBlanksAs val="gap"/>
    <c:showDLblsOverMax val="0"/>
  </c:chart>
  <c:printSettings>
    <c:headerFooter/>
    <c:pageMargins b="0.75000000000000933" l="0.70000000000000062" r="0.70000000000000062" t="0.75000000000000933" header="0.30000000000000032" footer="0.30000000000000032"/>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17031589541308"/>
          <c:y val="7.4016112569262174E-2"/>
          <c:w val="0.54843185586518062"/>
          <c:h val="0.69600320793234149"/>
        </c:manualLayout>
      </c:layout>
      <c:lineChart>
        <c:grouping val="standard"/>
        <c:varyColors val="0"/>
        <c:ser>
          <c:idx val="0"/>
          <c:order val="0"/>
          <c:tx>
            <c:strRef>
              <c:f>'Hoja 10. LABORATORIO DE AGUA'!$A$43:$F$43</c:f>
              <c:strCache>
                <c:ptCount val="6"/>
                <c:pt idx="0">
                  <c:v>Total Pruebas de Intercalibración Aprobadas</c:v>
                </c:pt>
              </c:strCache>
            </c:strRef>
          </c:tx>
          <c:spPr>
            <a:ln>
              <a:solidFill>
                <a:schemeClr val="accent6">
                  <a:lumMod val="75000"/>
                </a:schemeClr>
              </a:solidFill>
              <a:prstDash val="dash"/>
            </a:ln>
          </c:spPr>
          <c:marker>
            <c:symbol val="none"/>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'Hoja 10. LABORATORIO DE AGUA'!$G$38:$M$38</c:f>
              <c:numCache>
                <c:formatCode>General</c:formatCode>
                <c:ptCount val="7"/>
                <c:pt idx="0">
                  <c:v>2012</c:v>
                </c:pt>
                <c:pt idx="1">
                  <c:v>2013</c:v>
                </c:pt>
                <c:pt idx="2">
                  <c:v>2014</c:v>
                </c:pt>
                <c:pt idx="3">
                  <c:v>2015</c:v>
                </c:pt>
                <c:pt idx="4">
                  <c:v>2016</c:v>
                </c:pt>
                <c:pt idx="5">
                  <c:v>2017</c:v>
                </c:pt>
              </c:numCache>
            </c:numRef>
          </c:cat>
          <c:val>
            <c:numRef>
              <c:f>'Hoja 10. LABORATORIO DE AGUA'!$G$43:$M$43</c:f>
              <c:numCache>
                <c:formatCode>0%</c:formatCode>
                <c:ptCount val="7"/>
                <c:pt idx="0">
                  <c:v>0.93</c:v>
                </c:pt>
                <c:pt idx="1">
                  <c:v>0.98</c:v>
                </c:pt>
                <c:pt idx="2">
                  <c:v>0.95</c:v>
                </c:pt>
                <c:pt idx="3">
                  <c:v>0.95</c:v>
                </c:pt>
                <c:pt idx="4">
                  <c:v>0</c:v>
                </c:pt>
                <c:pt idx="5">
                  <c:v>0</c:v>
                </c:pt>
              </c:numCache>
            </c:numRef>
          </c:val>
          <c:smooth val="1"/>
          <c:extLst>
            <c:ext xmlns:c16="http://schemas.microsoft.com/office/drawing/2014/chart" uri="{C3380CC4-5D6E-409C-BE32-E72D297353CC}">
              <c16:uniqueId val="{00000000-E85C-4F5A-A039-9B5D7FAF2655}"/>
            </c:ext>
          </c:extLst>
        </c:ser>
        <c:ser>
          <c:idx val="1"/>
          <c:order val="1"/>
          <c:tx>
            <c:strRef>
              <c:f>'Hoja 10. LABORATORIO DE AGUA'!$A$44:$F$44</c:f>
              <c:strCache>
                <c:ptCount val="6"/>
                <c:pt idx="0">
                  <c:v>Meta</c:v>
                </c:pt>
              </c:strCache>
            </c:strRef>
          </c:tx>
          <c:spPr>
            <a:ln w="38100">
              <a:solidFill>
                <a:srgbClr val="FF0000"/>
              </a:solidFill>
              <a:prstDash val="dashDot"/>
            </a:ln>
          </c:spPr>
          <c:marker>
            <c:symbol val="none"/>
          </c:marker>
          <c:cat>
            <c:numRef>
              <c:f>'Hoja 10. LABORATORIO DE AGUA'!$G$38:$M$38</c:f>
              <c:numCache>
                <c:formatCode>General</c:formatCode>
                <c:ptCount val="7"/>
                <c:pt idx="0">
                  <c:v>2012</c:v>
                </c:pt>
                <c:pt idx="1">
                  <c:v>2013</c:v>
                </c:pt>
                <c:pt idx="2">
                  <c:v>2014</c:v>
                </c:pt>
                <c:pt idx="3">
                  <c:v>2015</c:v>
                </c:pt>
                <c:pt idx="4">
                  <c:v>2016</c:v>
                </c:pt>
                <c:pt idx="5">
                  <c:v>2017</c:v>
                </c:pt>
              </c:numCache>
            </c:numRef>
          </c:cat>
          <c:val>
            <c:numRef>
              <c:f>'Hoja 10. LABORATORIO DE AGUA'!$G$44:$M$44</c:f>
              <c:numCache>
                <c:formatCode>0%</c:formatCode>
                <c:ptCount val="7"/>
                <c:pt idx="0">
                  <c:v>0.95</c:v>
                </c:pt>
                <c:pt idx="1">
                  <c:v>0.95</c:v>
                </c:pt>
                <c:pt idx="2">
                  <c:v>0.95</c:v>
                </c:pt>
                <c:pt idx="3">
                  <c:v>0.95</c:v>
                </c:pt>
                <c:pt idx="4">
                  <c:v>0</c:v>
                </c:pt>
                <c:pt idx="5">
                  <c:v>0</c:v>
                </c:pt>
              </c:numCache>
            </c:numRef>
          </c:val>
          <c:smooth val="0"/>
          <c:extLst>
            <c:ext xmlns:c16="http://schemas.microsoft.com/office/drawing/2014/chart" uri="{C3380CC4-5D6E-409C-BE32-E72D297353CC}">
              <c16:uniqueId val="{00000001-E85C-4F5A-A039-9B5D7FAF2655}"/>
            </c:ext>
          </c:extLst>
        </c:ser>
        <c:dLbls>
          <c:showLegendKey val="0"/>
          <c:showVal val="0"/>
          <c:showCatName val="0"/>
          <c:showSerName val="0"/>
          <c:showPercent val="0"/>
          <c:showBubbleSize val="0"/>
        </c:dLbls>
        <c:smooth val="0"/>
        <c:axId val="683665224"/>
        <c:axId val="683672280"/>
      </c:lineChart>
      <c:catAx>
        <c:axId val="683665224"/>
        <c:scaling>
          <c:orientation val="minMax"/>
        </c:scaling>
        <c:delete val="0"/>
        <c:axPos val="b"/>
        <c:numFmt formatCode="General" sourceLinked="1"/>
        <c:majorTickMark val="out"/>
        <c:minorTickMark val="none"/>
        <c:tickLblPos val="nextTo"/>
        <c:txPr>
          <a:bodyPr/>
          <a:lstStyle/>
          <a:p>
            <a:pPr>
              <a:defRPr lang="he-IL" sz="1800"/>
            </a:pPr>
            <a:endParaRPr lang="es-CO"/>
          </a:p>
        </c:txPr>
        <c:crossAx val="683672280"/>
        <c:crosses val="autoZero"/>
        <c:auto val="1"/>
        <c:lblAlgn val="ctr"/>
        <c:lblOffset val="100"/>
        <c:noMultiLvlLbl val="0"/>
      </c:catAx>
      <c:valAx>
        <c:axId val="683672280"/>
        <c:scaling>
          <c:orientation val="minMax"/>
          <c:min val="0.4"/>
        </c:scaling>
        <c:delete val="0"/>
        <c:axPos val="l"/>
        <c:majorGridlines/>
        <c:numFmt formatCode="0%" sourceLinked="1"/>
        <c:majorTickMark val="out"/>
        <c:minorTickMark val="none"/>
        <c:tickLblPos val="nextTo"/>
        <c:txPr>
          <a:bodyPr/>
          <a:lstStyle/>
          <a:p>
            <a:pPr>
              <a:defRPr lang="he-IL" sz="1800"/>
            </a:pPr>
            <a:endParaRPr lang="es-CO"/>
          </a:p>
        </c:txPr>
        <c:crossAx val="683665224"/>
        <c:crosses val="autoZero"/>
        <c:crossBetween val="between"/>
      </c:valAx>
    </c:plotArea>
    <c:legend>
      <c:legendPos val="r"/>
      <c:legendEntry>
        <c:idx val="0"/>
        <c:txPr>
          <a:bodyPr/>
          <a:lstStyle/>
          <a:p>
            <a:pPr>
              <a:defRPr sz="1400"/>
            </a:pPr>
            <a:endParaRPr lang="es-CO"/>
          </a:p>
        </c:txPr>
      </c:legendEntry>
      <c:layout>
        <c:manualLayout>
          <c:xMode val="edge"/>
          <c:yMode val="edge"/>
          <c:x val="0.69661713572932071"/>
          <c:y val="1.5587634878973461E-3"/>
          <c:w val="0.259581507757075"/>
          <c:h val="0.88945687464157341"/>
        </c:manualLayout>
      </c:layout>
      <c:overlay val="0"/>
      <c:spPr>
        <a:ln w="19050"/>
      </c:spPr>
      <c:txPr>
        <a:bodyPr/>
        <a:lstStyle/>
        <a:p>
          <a:pPr>
            <a:defRPr lang="he-IL" sz="1400"/>
          </a:pPr>
          <a:endParaRPr lang="es-CO"/>
        </a:p>
      </c:txPr>
    </c:legend>
    <c:plotVisOnly val="1"/>
    <c:dispBlanksAs val="gap"/>
    <c:showDLblsOverMax val="0"/>
  </c:chart>
  <c:printSettings>
    <c:headerFooter/>
    <c:pageMargins b="0.7500000000000091" l="0.70000000000000062" r="0.70000000000000062" t="0.7500000000000091" header="0.30000000000000032" footer="0.3000000000000003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hyperlink" Target="#'Hoja 9. FC'!A1"/><Relationship Id="rId3" Type="http://schemas.openxmlformats.org/officeDocument/2006/relationships/hyperlink" Target="#'Hoja 4. PG'!A1"/><Relationship Id="rId7" Type="http://schemas.openxmlformats.org/officeDocument/2006/relationships/hyperlink" Target="#'Hoja 8. RI'!A1"/><Relationship Id="rId2" Type="http://schemas.openxmlformats.org/officeDocument/2006/relationships/hyperlink" Target="#'Hoja 3. MJ'!A1"/><Relationship Id="rId1" Type="http://schemas.openxmlformats.org/officeDocument/2006/relationships/hyperlink" Target="#'Hoja 2. DI'!A1"/><Relationship Id="rId6" Type="http://schemas.openxmlformats.org/officeDocument/2006/relationships/hyperlink" Target="#'Hoja 7. TH'!A1"/><Relationship Id="rId5" Type="http://schemas.openxmlformats.org/officeDocument/2006/relationships/hyperlink" Target="#'Hoja 6. AA-'!A1"/><Relationship Id="rId10" Type="http://schemas.openxmlformats.org/officeDocument/2006/relationships/image" Target="../media/image1.png"/><Relationship Id="rId4" Type="http://schemas.openxmlformats.org/officeDocument/2006/relationships/hyperlink" Target="#'Hoja 5. GP'!A1"/><Relationship Id="rId9" Type="http://schemas.openxmlformats.org/officeDocument/2006/relationships/hyperlink" Target="#'HOJA 10. LAB AGUA'!A1"/></Relationships>
</file>

<file path=xl/drawings/_rels/drawing2.xml.rels><?xml version="1.0" encoding="UTF-8" standalone="yes"?>
<Relationships xmlns="http://schemas.openxmlformats.org/package/2006/relationships"><Relationship Id="rId1" Type="http://schemas.openxmlformats.org/officeDocument/2006/relationships/hyperlink" Target="#'Hoja 1. Inicio - Matriz Indic'!A1"/></Relationships>
</file>

<file path=xl/drawings/_rels/drawing3.xml.rels><?xml version="1.0" encoding="UTF-8" standalone="yes"?>
<Relationships xmlns="http://schemas.openxmlformats.org/package/2006/relationships"><Relationship Id="rId1" Type="http://schemas.openxmlformats.org/officeDocument/2006/relationships/hyperlink" Target="#'Hoja 1. Inicio - Matriz Indic'!A1"/></Relationships>
</file>

<file path=xl/drawings/_rels/drawing4.xml.rels><?xml version="1.0" encoding="UTF-8" standalone="yes"?>
<Relationships xmlns="http://schemas.openxmlformats.org/package/2006/relationships"><Relationship Id="rId1" Type="http://schemas.openxmlformats.org/officeDocument/2006/relationships/hyperlink" Target="#'Hoja 1. Inicio - Matriz Indic'!A1"/></Relationships>
</file>

<file path=xl/drawings/_rels/drawing5.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hyperlink" Target="#'Hoja 1. Inicio - Matriz Indic'!A1"/></Relationships>
</file>

<file path=xl/drawings/_rels/drawing8.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hyperlink" Target="#'Hoja 1. Inicio - Matriz Indic'!A1"/><Relationship Id="rId1" Type="http://schemas.openxmlformats.org/officeDocument/2006/relationships/hyperlink" Target="#'Hoja 1. Inicio'!A1"/><Relationship Id="rId5" Type="http://schemas.openxmlformats.org/officeDocument/2006/relationships/chart" Target="../charts/chart7.xml"/><Relationship Id="rId4" Type="http://schemas.openxmlformats.org/officeDocument/2006/relationships/chart" Target="../charts/chart6.xml"/></Relationships>
</file>

<file path=xl/drawings/_rels/drawing9.xml.rels><?xml version="1.0" encoding="UTF-8" standalone="yes"?>
<Relationships xmlns="http://schemas.openxmlformats.org/package/2006/relationships"><Relationship Id="rId3" Type="http://schemas.openxmlformats.org/officeDocument/2006/relationships/image" Target="../media/image2.emf"/><Relationship Id="rId7" Type="http://schemas.openxmlformats.org/officeDocument/2006/relationships/chart" Target="../charts/chart11.xml"/><Relationship Id="rId2" Type="http://schemas.openxmlformats.org/officeDocument/2006/relationships/hyperlink" Target="#'Hoja 1. Inicio - Matriz Indic'!A1"/><Relationship Id="rId1" Type="http://schemas.openxmlformats.org/officeDocument/2006/relationships/hyperlink" Target="#'Hoja 1. Inicio'!A1"/><Relationship Id="rId6" Type="http://schemas.openxmlformats.org/officeDocument/2006/relationships/chart" Target="../charts/chart10.xml"/><Relationship Id="rId5" Type="http://schemas.openxmlformats.org/officeDocument/2006/relationships/chart" Target="../charts/chart9.xml"/><Relationship Id="rId4"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8" Type="http://schemas.openxmlformats.org/officeDocument/2006/relationships/chart" Target="../charts/chart17.xml"/><Relationship Id="rId13" Type="http://schemas.openxmlformats.org/officeDocument/2006/relationships/chart" Target="../charts/chart22.xml"/><Relationship Id="rId18" Type="http://schemas.openxmlformats.org/officeDocument/2006/relationships/image" Target="../media/image5.png"/><Relationship Id="rId3" Type="http://schemas.openxmlformats.org/officeDocument/2006/relationships/chart" Target="../charts/chart12.xml"/><Relationship Id="rId7" Type="http://schemas.openxmlformats.org/officeDocument/2006/relationships/chart" Target="../charts/chart16.xml"/><Relationship Id="rId12" Type="http://schemas.openxmlformats.org/officeDocument/2006/relationships/chart" Target="../charts/chart21.xml"/><Relationship Id="rId17" Type="http://schemas.openxmlformats.org/officeDocument/2006/relationships/image" Target="../media/image2.emf"/><Relationship Id="rId2" Type="http://schemas.openxmlformats.org/officeDocument/2006/relationships/hyperlink" Target="#'Hoja 1. Inicio - Matriz Indic'!A1"/><Relationship Id="rId16" Type="http://schemas.openxmlformats.org/officeDocument/2006/relationships/image" Target="../media/image4.png"/><Relationship Id="rId1" Type="http://schemas.openxmlformats.org/officeDocument/2006/relationships/hyperlink" Target="#'Hoja 1. Inicio'!A1"/><Relationship Id="rId6" Type="http://schemas.openxmlformats.org/officeDocument/2006/relationships/chart" Target="../charts/chart15.xml"/><Relationship Id="rId11" Type="http://schemas.openxmlformats.org/officeDocument/2006/relationships/chart" Target="../charts/chart20.xml"/><Relationship Id="rId5" Type="http://schemas.openxmlformats.org/officeDocument/2006/relationships/chart" Target="../charts/chart14.xml"/><Relationship Id="rId15" Type="http://schemas.openxmlformats.org/officeDocument/2006/relationships/image" Target="../media/image3.emf"/><Relationship Id="rId10" Type="http://schemas.openxmlformats.org/officeDocument/2006/relationships/chart" Target="../charts/chart19.xml"/><Relationship Id="rId19" Type="http://schemas.openxmlformats.org/officeDocument/2006/relationships/image" Target="../media/image6.emf"/><Relationship Id="rId4" Type="http://schemas.openxmlformats.org/officeDocument/2006/relationships/chart" Target="../charts/chart13.xml"/><Relationship Id="rId9" Type="http://schemas.openxmlformats.org/officeDocument/2006/relationships/chart" Target="../charts/chart18.xml"/><Relationship Id="rId14" Type="http://schemas.openxmlformats.org/officeDocument/2006/relationships/chart" Target="../charts/chart23.xml"/></Relationships>
</file>

<file path=xl/drawings/_rels/drawing11.xml.rels><?xml version="1.0" encoding="UTF-8" standalone="yes"?>
<Relationships xmlns="http://schemas.openxmlformats.org/package/2006/relationships"><Relationship Id="rId2" Type="http://schemas.openxmlformats.org/officeDocument/2006/relationships/chart" Target="../charts/chart25.xml"/><Relationship Id="rId1" Type="http://schemas.openxmlformats.org/officeDocument/2006/relationships/chart" Target="../charts/chart24.xml"/></Relationships>
</file>

<file path=xl/drawings/_rels/drawing1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hyperlink" Target="#'Hoja 1. Inicio - Matriz Indic'!A1"/></Relationships>
</file>

<file path=xl/drawings/_rels/drawing13.x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hyperlink" Target="#'Hoja 1. Inicio - Matriz Indic'!A1"/><Relationship Id="rId1" Type="http://schemas.openxmlformats.org/officeDocument/2006/relationships/hyperlink" Target="#'Hoja 1. Inicio'!A1"/></Relationships>
</file>

<file path=xl/drawings/_rels/drawing14.xml.rels><?xml version="1.0" encoding="UTF-8" standalone="yes"?>
<Relationships xmlns="http://schemas.openxmlformats.org/package/2006/relationships"><Relationship Id="rId3" Type="http://schemas.openxmlformats.org/officeDocument/2006/relationships/image" Target="../media/image2.emf"/><Relationship Id="rId7" Type="http://schemas.openxmlformats.org/officeDocument/2006/relationships/chart" Target="../charts/chart29.xml"/><Relationship Id="rId2" Type="http://schemas.openxmlformats.org/officeDocument/2006/relationships/hyperlink" Target="#'Hoja 1. Inicio - Matriz Indic'!A1"/><Relationship Id="rId1" Type="http://schemas.openxmlformats.org/officeDocument/2006/relationships/hyperlink" Target="#'Hoja 1. Inicio'!A1"/><Relationship Id="rId6" Type="http://schemas.openxmlformats.org/officeDocument/2006/relationships/chart" Target="../charts/chart28.xml"/><Relationship Id="rId5" Type="http://schemas.openxmlformats.org/officeDocument/2006/relationships/chart" Target="../charts/chart27.xml"/><Relationship Id="rId4" Type="http://schemas.openxmlformats.org/officeDocument/2006/relationships/chart" Target="../charts/chart26.xml"/></Relationships>
</file>

<file path=xl/drawings/_rels/drawing15.xml.rels><?xml version="1.0" encoding="UTF-8" standalone="yes"?>
<Relationships xmlns="http://schemas.openxmlformats.org/package/2006/relationships"><Relationship Id="rId1" Type="http://schemas.openxmlformats.org/officeDocument/2006/relationships/hyperlink" Target="#'Hoja 1. Inicio - Matriz Indic'!A1"/></Relationships>
</file>

<file path=xl/drawings/_rels/drawing16.xml.rels><?xml version="1.0" encoding="UTF-8" standalone="yes"?>
<Relationships xmlns="http://schemas.openxmlformats.org/package/2006/relationships"><Relationship Id="rId3" Type="http://schemas.openxmlformats.org/officeDocument/2006/relationships/chart" Target="../charts/chart30.xml"/><Relationship Id="rId2" Type="http://schemas.openxmlformats.org/officeDocument/2006/relationships/hyperlink" Target="#'Hoja 1. Inicio - Matriz Indic'!A1"/><Relationship Id="rId1" Type="http://schemas.openxmlformats.org/officeDocument/2006/relationships/hyperlink" Target="#'Hoja 1. Inicio'!A1"/><Relationship Id="rId5" Type="http://schemas.openxmlformats.org/officeDocument/2006/relationships/chart" Target="../charts/chart32.xml"/><Relationship Id="rId4" Type="http://schemas.openxmlformats.org/officeDocument/2006/relationships/chart" Target="../charts/chart31.xml"/></Relationships>
</file>

<file path=xl/drawings/_rels/drawing17.xml.rels><?xml version="1.0" encoding="UTF-8" standalone="yes"?>
<Relationships xmlns="http://schemas.openxmlformats.org/package/2006/relationships"><Relationship Id="rId1" Type="http://schemas.openxmlformats.org/officeDocument/2006/relationships/hyperlink" Target="#'Hoja 1. Inicio - Matriz Indic'!A1"/></Relationships>
</file>

<file path=xl/drawings/_rels/drawing18.xml.rels><?xml version="1.0" encoding="UTF-8" standalone="yes"?>
<Relationships xmlns="http://schemas.openxmlformats.org/package/2006/relationships"><Relationship Id="rId3" Type="http://schemas.openxmlformats.org/officeDocument/2006/relationships/chart" Target="../charts/chart33.xml"/><Relationship Id="rId2" Type="http://schemas.openxmlformats.org/officeDocument/2006/relationships/hyperlink" Target="#'Hoja 1. Inicio - Matriz Indic'!A1"/><Relationship Id="rId1" Type="http://schemas.openxmlformats.org/officeDocument/2006/relationships/hyperlink" Target="#'Hoja 1. Inicio'!A1"/><Relationship Id="rId6" Type="http://schemas.openxmlformats.org/officeDocument/2006/relationships/chart" Target="../charts/chart36.xml"/><Relationship Id="rId5" Type="http://schemas.openxmlformats.org/officeDocument/2006/relationships/chart" Target="../charts/chart35.xml"/><Relationship Id="rId4" Type="http://schemas.openxmlformats.org/officeDocument/2006/relationships/chart" Target="../charts/chart34.xml"/></Relationships>
</file>

<file path=xl/drawings/_rels/drawing19.xml.rels><?xml version="1.0" encoding="UTF-8" standalone="yes"?>
<Relationships xmlns="http://schemas.openxmlformats.org/package/2006/relationships"><Relationship Id="rId3" Type="http://schemas.openxmlformats.org/officeDocument/2006/relationships/chart" Target="../charts/chart37.xml"/><Relationship Id="rId2" Type="http://schemas.openxmlformats.org/officeDocument/2006/relationships/hyperlink" Target="#'Hoja 1. Inicio - Matriz Indic'!A1"/><Relationship Id="rId1" Type="http://schemas.openxmlformats.org/officeDocument/2006/relationships/hyperlink" Target="#'Hoja 1. Inicio'!A1"/><Relationship Id="rId6" Type="http://schemas.openxmlformats.org/officeDocument/2006/relationships/chart" Target="../charts/chart40.xml"/><Relationship Id="rId5" Type="http://schemas.openxmlformats.org/officeDocument/2006/relationships/chart" Target="../charts/chart39.xml"/><Relationship Id="rId4" Type="http://schemas.openxmlformats.org/officeDocument/2006/relationships/chart" Target="../charts/chart38.xml"/></Relationships>
</file>

<file path=xl/drawings/_rels/drawing20.xml.rels><?xml version="1.0" encoding="UTF-8" standalone="yes"?>
<Relationships xmlns="http://schemas.openxmlformats.org/package/2006/relationships"><Relationship Id="rId1" Type="http://schemas.openxmlformats.org/officeDocument/2006/relationships/hyperlink" Target="#'Hoja 1. Inicio - Matriz Indic'!A1"/></Relationships>
</file>

<file path=xl/drawings/_rels/drawing21.xml.rels><?xml version="1.0" encoding="UTF-8" standalone="yes"?>
<Relationships xmlns="http://schemas.openxmlformats.org/package/2006/relationships"><Relationship Id="rId3" Type="http://schemas.openxmlformats.org/officeDocument/2006/relationships/chart" Target="../charts/chart41.xml"/><Relationship Id="rId2" Type="http://schemas.openxmlformats.org/officeDocument/2006/relationships/hyperlink" Target="#'Hoja 1. Inicio - Matriz Indic'!A1"/><Relationship Id="rId1" Type="http://schemas.openxmlformats.org/officeDocument/2006/relationships/hyperlink" Target="#'Hoja 1. Inicio'!A1"/><Relationship Id="rId6" Type="http://schemas.openxmlformats.org/officeDocument/2006/relationships/chart" Target="../charts/chart44.xml"/><Relationship Id="rId5" Type="http://schemas.openxmlformats.org/officeDocument/2006/relationships/chart" Target="../charts/chart43.xml"/><Relationship Id="rId4" Type="http://schemas.openxmlformats.org/officeDocument/2006/relationships/chart" Target="../charts/chart42.xml"/></Relationships>
</file>

<file path=xl/drawings/_rels/drawing22.xml.rels><?xml version="1.0" encoding="UTF-8" standalone="yes"?>
<Relationships xmlns="http://schemas.openxmlformats.org/package/2006/relationships"><Relationship Id="rId3" Type="http://schemas.openxmlformats.org/officeDocument/2006/relationships/chart" Target="../charts/chart45.xml"/><Relationship Id="rId2" Type="http://schemas.openxmlformats.org/officeDocument/2006/relationships/hyperlink" Target="#'Hoja 1. Inicio - Matriz Indic'!A1"/><Relationship Id="rId1" Type="http://schemas.openxmlformats.org/officeDocument/2006/relationships/hyperlink" Target="#'Hoja 1. Inicio'!A1"/><Relationship Id="rId4" Type="http://schemas.openxmlformats.org/officeDocument/2006/relationships/chart" Target="../charts/chart46.xml"/></Relationships>
</file>

<file path=xl/drawings/_rels/drawing23.xml.rels><?xml version="1.0" encoding="UTF-8" standalone="yes"?>
<Relationships xmlns="http://schemas.openxmlformats.org/package/2006/relationships"><Relationship Id="rId8" Type="http://schemas.openxmlformats.org/officeDocument/2006/relationships/chart" Target="../charts/chart52.xml"/><Relationship Id="rId3" Type="http://schemas.openxmlformats.org/officeDocument/2006/relationships/chart" Target="../charts/chart47.xml"/><Relationship Id="rId7" Type="http://schemas.openxmlformats.org/officeDocument/2006/relationships/chart" Target="../charts/chart51.xml"/><Relationship Id="rId2" Type="http://schemas.openxmlformats.org/officeDocument/2006/relationships/hyperlink" Target="#'Hoja 1. Inicio - Matriz Indic'!A1"/><Relationship Id="rId1" Type="http://schemas.openxmlformats.org/officeDocument/2006/relationships/hyperlink" Target="#'Hoja 1. Inicio'!A1"/><Relationship Id="rId6" Type="http://schemas.openxmlformats.org/officeDocument/2006/relationships/chart" Target="../charts/chart50.xml"/><Relationship Id="rId5" Type="http://schemas.openxmlformats.org/officeDocument/2006/relationships/chart" Target="../charts/chart49.xml"/><Relationship Id="rId4" Type="http://schemas.openxmlformats.org/officeDocument/2006/relationships/chart" Target="../charts/chart48.xml"/></Relationships>
</file>

<file path=xl/drawings/_rels/drawing24.xml.rels><?xml version="1.0" encoding="UTF-8" standalone="yes"?>
<Relationships xmlns="http://schemas.openxmlformats.org/package/2006/relationships"><Relationship Id="rId1" Type="http://schemas.openxmlformats.org/officeDocument/2006/relationships/hyperlink" Target="#'Hoja 1. Inicio - Matriz Indic'!A1"/></Relationships>
</file>

<file path=xl/drawings/_rels/drawing25.xml.rels><?xml version="1.0" encoding="UTF-8" standalone="yes"?>
<Relationships xmlns="http://schemas.openxmlformats.org/package/2006/relationships"><Relationship Id="rId1" Type="http://schemas.openxmlformats.org/officeDocument/2006/relationships/hyperlink" Target="#'Hoja 1. Inicio - Matriz Indic'!A1"/></Relationships>
</file>

<file path=xl/drawings/drawing1.xml><?xml version="1.0" encoding="utf-8"?>
<xdr:wsDr xmlns:xdr="http://schemas.openxmlformats.org/drawingml/2006/spreadsheetDrawing" xmlns:a="http://schemas.openxmlformats.org/drawingml/2006/main">
  <xdr:twoCellAnchor>
    <xdr:from>
      <xdr:col>1</xdr:col>
      <xdr:colOff>353786</xdr:colOff>
      <xdr:row>14</xdr:row>
      <xdr:rowOff>108856</xdr:rowOff>
    </xdr:from>
    <xdr:to>
      <xdr:col>7</xdr:col>
      <xdr:colOff>707572</xdr:colOff>
      <xdr:row>23</xdr:row>
      <xdr:rowOff>136071</xdr:rowOff>
    </xdr:to>
    <xdr:sp macro="" textlink="">
      <xdr:nvSpPr>
        <xdr:cNvPr id="23" name="22 Llamada de flecha hacia abajo">
          <a:extLst>
            <a:ext uri="{FF2B5EF4-FFF2-40B4-BE49-F238E27FC236}">
              <a16:creationId xmlns:a16="http://schemas.microsoft.com/office/drawing/2014/main" id="{00000000-0008-0000-0000-000017000000}"/>
            </a:ext>
          </a:extLst>
        </xdr:cNvPr>
        <xdr:cNvSpPr/>
      </xdr:nvSpPr>
      <xdr:spPr>
        <a:xfrm>
          <a:off x="1442357" y="2272392"/>
          <a:ext cx="4925786" cy="1836965"/>
        </a:xfrm>
        <a:prstGeom prst="downArrowCallout">
          <a:avLst>
            <a:gd name="adj1" fmla="val 45741"/>
            <a:gd name="adj2" fmla="val 38333"/>
            <a:gd name="adj3" fmla="val 25000"/>
            <a:gd name="adj4" fmla="val 64977"/>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CO" sz="1100"/>
        </a:p>
      </xdr:txBody>
    </xdr:sp>
    <xdr:clientData/>
  </xdr:twoCellAnchor>
  <xdr:twoCellAnchor>
    <xdr:from>
      <xdr:col>1</xdr:col>
      <xdr:colOff>612332</xdr:colOff>
      <xdr:row>15</xdr:row>
      <xdr:rowOff>163285</xdr:rowOff>
    </xdr:from>
    <xdr:to>
      <xdr:col>4</xdr:col>
      <xdr:colOff>476267</xdr:colOff>
      <xdr:row>18</xdr:row>
      <xdr:rowOff>176891</xdr:rowOff>
    </xdr:to>
    <xdr:sp macro="" textlink="">
      <xdr:nvSpPr>
        <xdr:cNvPr id="24" name="23 Rectángulo">
          <a:hlinkClick xmlns:r="http://schemas.openxmlformats.org/officeDocument/2006/relationships" r:id="rId1"/>
          <a:extLst>
            <a:ext uri="{FF2B5EF4-FFF2-40B4-BE49-F238E27FC236}">
              <a16:creationId xmlns:a16="http://schemas.microsoft.com/office/drawing/2014/main" id="{00000000-0008-0000-0000-000018000000}"/>
            </a:ext>
          </a:extLst>
        </xdr:cNvPr>
        <xdr:cNvSpPr/>
      </xdr:nvSpPr>
      <xdr:spPr>
        <a:xfrm>
          <a:off x="1700903" y="2517321"/>
          <a:ext cx="2149935" cy="680356"/>
        </a:xfrm>
        <a:prstGeom prst="rect">
          <a:avLst/>
        </a:prstGeom>
        <a:solidFill>
          <a:schemeClr val="tx2">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1000" b="1">
            <a:solidFill>
              <a:schemeClr val="bg1"/>
            </a:solidFill>
            <a:latin typeface="Verdana" pitchFamily="34" charset="0"/>
            <a:ea typeface="Verdana" pitchFamily="34" charset="0"/>
            <a:cs typeface="Verdana" pitchFamily="34" charset="0"/>
          </a:endParaRPr>
        </a:p>
        <a:p>
          <a:pPr marL="0" marR="0" indent="0" algn="ctr" defTabSz="914400" eaLnBrk="1" fontAlgn="auto" latinLnBrk="0" hangingPunct="1">
            <a:lnSpc>
              <a:spcPct val="100000"/>
            </a:lnSpc>
            <a:spcBef>
              <a:spcPts val="0"/>
            </a:spcBef>
            <a:spcAft>
              <a:spcPts val="0"/>
            </a:spcAft>
            <a:buClrTx/>
            <a:buSzTx/>
            <a:buFontTx/>
            <a:buNone/>
            <a:tabLst/>
            <a:defRPr/>
          </a:pPr>
          <a:r>
            <a:rPr lang="es-ES" sz="1000" b="1">
              <a:solidFill>
                <a:schemeClr val="bg1"/>
              </a:solidFill>
              <a:latin typeface="Arial" panose="020B0604020202020204" pitchFamily="34" charset="0"/>
              <a:ea typeface="Verdana" pitchFamily="34" charset="0"/>
              <a:cs typeface="Arial" panose="020B0604020202020204" pitchFamily="34" charset="0"/>
            </a:rPr>
            <a:t>DI: DIRECCIONAMIENTO</a:t>
          </a:r>
          <a:r>
            <a:rPr lang="es-ES" sz="1000" b="1" baseline="0">
              <a:solidFill>
                <a:schemeClr val="bg1"/>
              </a:solidFill>
              <a:latin typeface="Arial" panose="020B0604020202020204" pitchFamily="34" charset="0"/>
              <a:ea typeface="Verdana" pitchFamily="34" charset="0"/>
              <a:cs typeface="Arial" panose="020B0604020202020204" pitchFamily="34" charset="0"/>
            </a:rPr>
            <a:t> DEL SISTEMA DE GESTIÓN CORPORATIVO</a:t>
          </a:r>
          <a:endParaRPr lang="es-ES" sz="1000" b="1">
            <a:solidFill>
              <a:schemeClr val="bg1"/>
            </a:solidFill>
            <a:latin typeface="Arial" panose="020B0604020202020204" pitchFamily="34" charset="0"/>
            <a:ea typeface="Verdana" pitchFamily="34" charset="0"/>
            <a:cs typeface="Arial" panose="020B0604020202020204" pitchFamily="34" charset="0"/>
          </a:endParaRPr>
        </a:p>
        <a:p>
          <a:pPr algn="ctr"/>
          <a:endParaRPr lang="es-CO" sz="1000">
            <a:solidFill>
              <a:schemeClr val="bg1"/>
            </a:solidFill>
            <a:latin typeface="Verdana" pitchFamily="34" charset="0"/>
            <a:ea typeface="Verdana" pitchFamily="34" charset="0"/>
            <a:cs typeface="Verdana" pitchFamily="34" charset="0"/>
          </a:endParaRPr>
        </a:p>
      </xdr:txBody>
    </xdr:sp>
    <xdr:clientData/>
  </xdr:twoCellAnchor>
  <xdr:twoCellAnchor>
    <xdr:from>
      <xdr:col>4</xdr:col>
      <xdr:colOff>625948</xdr:colOff>
      <xdr:row>15</xdr:row>
      <xdr:rowOff>163283</xdr:rowOff>
    </xdr:from>
    <xdr:to>
      <xdr:col>7</xdr:col>
      <xdr:colOff>476269</xdr:colOff>
      <xdr:row>18</xdr:row>
      <xdr:rowOff>176892</xdr:rowOff>
    </xdr:to>
    <xdr:sp macro="" textlink="">
      <xdr:nvSpPr>
        <xdr:cNvPr id="25" name="24 Rectángulo">
          <a:hlinkClick xmlns:r="http://schemas.openxmlformats.org/officeDocument/2006/relationships" r:id="rId2"/>
          <a:extLst>
            <a:ext uri="{FF2B5EF4-FFF2-40B4-BE49-F238E27FC236}">
              <a16:creationId xmlns:a16="http://schemas.microsoft.com/office/drawing/2014/main" id="{00000000-0008-0000-0000-000019000000}"/>
            </a:ext>
          </a:extLst>
        </xdr:cNvPr>
        <xdr:cNvSpPr/>
      </xdr:nvSpPr>
      <xdr:spPr>
        <a:xfrm>
          <a:off x="4000519" y="2517319"/>
          <a:ext cx="2136321" cy="680359"/>
        </a:xfrm>
        <a:prstGeom prst="rect">
          <a:avLst/>
        </a:prstGeom>
        <a:solidFill>
          <a:schemeClr val="accent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CO" sz="1000" b="1">
              <a:solidFill>
                <a:schemeClr val="bg1"/>
              </a:solidFill>
              <a:latin typeface="Arial" panose="020B0604020202020204" pitchFamily="34" charset="0"/>
              <a:ea typeface="Verdana" pitchFamily="34" charset="0"/>
              <a:cs typeface="Arial" panose="020B0604020202020204" pitchFamily="34" charset="0"/>
            </a:rPr>
            <a:t>MJ:</a:t>
          </a:r>
          <a:r>
            <a:rPr lang="es-CO" sz="1000" b="1" baseline="0">
              <a:solidFill>
                <a:schemeClr val="bg1"/>
              </a:solidFill>
              <a:latin typeface="Arial" panose="020B0604020202020204" pitchFamily="34" charset="0"/>
              <a:ea typeface="Verdana" pitchFamily="34" charset="0"/>
              <a:cs typeface="Arial" panose="020B0604020202020204" pitchFamily="34" charset="0"/>
            </a:rPr>
            <a:t> MEJORAMIENTO DEL SISTEMA DE GESTIÓN CORPORATIVO</a:t>
          </a:r>
          <a:endParaRPr lang="es-CO" sz="1000" b="1">
            <a:solidFill>
              <a:schemeClr val="bg1"/>
            </a:solidFill>
            <a:latin typeface="Arial" panose="020B0604020202020204" pitchFamily="34" charset="0"/>
            <a:ea typeface="Verdana" pitchFamily="34" charset="0"/>
            <a:cs typeface="Arial" panose="020B0604020202020204" pitchFamily="34" charset="0"/>
          </a:endParaRPr>
        </a:p>
      </xdr:txBody>
    </xdr:sp>
    <xdr:clientData/>
  </xdr:twoCellAnchor>
  <xdr:twoCellAnchor>
    <xdr:from>
      <xdr:col>1</xdr:col>
      <xdr:colOff>163296</xdr:colOff>
      <xdr:row>23</xdr:row>
      <xdr:rowOff>176892</xdr:rowOff>
    </xdr:from>
    <xdr:to>
      <xdr:col>7</xdr:col>
      <xdr:colOff>952512</xdr:colOff>
      <xdr:row>29</xdr:row>
      <xdr:rowOff>13607</xdr:rowOff>
    </xdr:to>
    <xdr:sp macro="" textlink="">
      <xdr:nvSpPr>
        <xdr:cNvPr id="29" name="28 Rectángulo">
          <a:extLst>
            <a:ext uri="{FF2B5EF4-FFF2-40B4-BE49-F238E27FC236}">
              <a16:creationId xmlns:a16="http://schemas.microsoft.com/office/drawing/2014/main" id="{00000000-0008-0000-0000-00001D000000}"/>
            </a:ext>
          </a:extLst>
        </xdr:cNvPr>
        <xdr:cNvSpPr/>
      </xdr:nvSpPr>
      <xdr:spPr>
        <a:xfrm>
          <a:off x="1251867" y="4150178"/>
          <a:ext cx="5361216" cy="1020536"/>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CO" sz="1100"/>
        </a:p>
      </xdr:txBody>
    </xdr:sp>
    <xdr:clientData/>
  </xdr:twoCellAnchor>
  <xdr:twoCellAnchor>
    <xdr:from>
      <xdr:col>1</xdr:col>
      <xdr:colOff>244941</xdr:colOff>
      <xdr:row>24</xdr:row>
      <xdr:rowOff>176895</xdr:rowOff>
    </xdr:from>
    <xdr:to>
      <xdr:col>3</xdr:col>
      <xdr:colOff>381012</xdr:colOff>
      <xdr:row>28</xdr:row>
      <xdr:rowOff>54430</xdr:rowOff>
    </xdr:to>
    <xdr:sp macro="" textlink="">
      <xdr:nvSpPr>
        <xdr:cNvPr id="30" name="29 Rectángulo">
          <a:hlinkClick xmlns:r="http://schemas.openxmlformats.org/officeDocument/2006/relationships" r:id="rId3"/>
          <a:extLst>
            <a:ext uri="{FF2B5EF4-FFF2-40B4-BE49-F238E27FC236}">
              <a16:creationId xmlns:a16="http://schemas.microsoft.com/office/drawing/2014/main" id="{00000000-0008-0000-0000-00001E000000}"/>
            </a:ext>
          </a:extLst>
        </xdr:cNvPr>
        <xdr:cNvSpPr/>
      </xdr:nvSpPr>
      <xdr:spPr>
        <a:xfrm>
          <a:off x="1333512" y="4340681"/>
          <a:ext cx="1660071" cy="680356"/>
        </a:xfrm>
        <a:prstGeom prst="rect">
          <a:avLst/>
        </a:prstGeom>
        <a:solidFill>
          <a:schemeClr val="accent6">
            <a:lumMod val="20000"/>
            <a:lumOff val="8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1000" b="1">
            <a:solidFill>
              <a:sysClr val="windowText" lastClr="000000"/>
            </a:solidFill>
            <a:latin typeface="Arial" panose="020B0604020202020204" pitchFamily="34" charset="0"/>
            <a:ea typeface="Verdana" pitchFamily="34" charset="0"/>
            <a:cs typeface="Arial" panose="020B0604020202020204" pitchFamily="34" charset="0"/>
          </a:endParaRPr>
        </a:p>
        <a:p>
          <a:pPr marL="0" marR="0" indent="0" algn="ctr" defTabSz="914400" eaLnBrk="1" fontAlgn="auto" latinLnBrk="0" hangingPunct="1">
            <a:lnSpc>
              <a:spcPct val="100000"/>
            </a:lnSpc>
            <a:spcBef>
              <a:spcPts val="0"/>
            </a:spcBef>
            <a:spcAft>
              <a:spcPts val="0"/>
            </a:spcAft>
            <a:buClrTx/>
            <a:buSzTx/>
            <a:buFontTx/>
            <a:buNone/>
            <a:tabLst/>
            <a:defRPr/>
          </a:pPr>
          <a:r>
            <a:rPr lang="es-ES" sz="1000" b="1">
              <a:solidFill>
                <a:sysClr val="windowText" lastClr="000000"/>
              </a:solidFill>
              <a:latin typeface="Arial" panose="020B0604020202020204" pitchFamily="34" charset="0"/>
              <a:ea typeface="Verdana" pitchFamily="34" charset="0"/>
              <a:cs typeface="Arial" panose="020B0604020202020204" pitchFamily="34" charset="0"/>
            </a:rPr>
            <a:t>PG:</a:t>
          </a:r>
          <a:r>
            <a:rPr lang="es-ES" sz="1000" b="1" baseline="0">
              <a:solidFill>
                <a:sysClr val="windowText" lastClr="000000"/>
              </a:solidFill>
              <a:latin typeface="Arial" panose="020B0604020202020204" pitchFamily="34" charset="0"/>
              <a:ea typeface="Verdana" pitchFamily="34" charset="0"/>
              <a:cs typeface="Arial" panose="020B0604020202020204" pitchFamily="34" charset="0"/>
            </a:rPr>
            <a:t> PLANEACIÓN GLOBAL DEL TERRITORIO</a:t>
          </a:r>
          <a:endParaRPr lang="es-ES" sz="1000" b="1">
            <a:solidFill>
              <a:sysClr val="windowText" lastClr="000000"/>
            </a:solidFill>
            <a:latin typeface="Arial" panose="020B0604020202020204" pitchFamily="34" charset="0"/>
            <a:ea typeface="Verdana" pitchFamily="34" charset="0"/>
            <a:cs typeface="Arial" panose="020B0604020202020204" pitchFamily="34" charset="0"/>
          </a:endParaRPr>
        </a:p>
        <a:p>
          <a:pPr algn="ctr"/>
          <a:endParaRPr lang="es-CO" sz="1000">
            <a:latin typeface="Verdana" pitchFamily="34" charset="0"/>
            <a:ea typeface="Verdana" pitchFamily="34" charset="0"/>
            <a:cs typeface="Verdana" pitchFamily="34" charset="0"/>
          </a:endParaRPr>
        </a:p>
      </xdr:txBody>
    </xdr:sp>
    <xdr:clientData/>
  </xdr:twoCellAnchor>
  <xdr:twoCellAnchor>
    <xdr:from>
      <xdr:col>3</xdr:col>
      <xdr:colOff>489871</xdr:colOff>
      <xdr:row>24</xdr:row>
      <xdr:rowOff>163288</xdr:rowOff>
    </xdr:from>
    <xdr:to>
      <xdr:col>5</xdr:col>
      <xdr:colOff>625942</xdr:colOff>
      <xdr:row>28</xdr:row>
      <xdr:rowOff>40823</xdr:rowOff>
    </xdr:to>
    <xdr:sp macro="" textlink="">
      <xdr:nvSpPr>
        <xdr:cNvPr id="31" name="30 Rectángulo">
          <a:hlinkClick xmlns:r="http://schemas.openxmlformats.org/officeDocument/2006/relationships" r:id="rId4"/>
          <a:extLst>
            <a:ext uri="{FF2B5EF4-FFF2-40B4-BE49-F238E27FC236}">
              <a16:creationId xmlns:a16="http://schemas.microsoft.com/office/drawing/2014/main" id="{00000000-0008-0000-0000-00001F000000}"/>
            </a:ext>
          </a:extLst>
        </xdr:cNvPr>
        <xdr:cNvSpPr/>
      </xdr:nvSpPr>
      <xdr:spPr>
        <a:xfrm>
          <a:off x="3102442" y="4327074"/>
          <a:ext cx="1660071" cy="680356"/>
        </a:xfrm>
        <a:prstGeom prst="rect">
          <a:avLst/>
        </a:prstGeom>
        <a:solidFill>
          <a:schemeClr val="accent6">
            <a:lumMod val="20000"/>
            <a:lumOff val="8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1000" b="1">
            <a:solidFill>
              <a:sysClr val="windowText" lastClr="000000"/>
            </a:solidFill>
            <a:latin typeface="Verdana" pitchFamily="34" charset="0"/>
            <a:ea typeface="Verdana" pitchFamily="34" charset="0"/>
            <a:cs typeface="Verdana" pitchFamily="34" charset="0"/>
          </a:endParaRPr>
        </a:p>
        <a:p>
          <a:pPr marL="0" marR="0" indent="0" algn="ctr" defTabSz="914400" eaLnBrk="1" fontAlgn="auto" latinLnBrk="0" hangingPunct="1">
            <a:lnSpc>
              <a:spcPct val="100000"/>
            </a:lnSpc>
            <a:spcBef>
              <a:spcPts val="0"/>
            </a:spcBef>
            <a:spcAft>
              <a:spcPts val="0"/>
            </a:spcAft>
            <a:buClrTx/>
            <a:buSzTx/>
            <a:buFontTx/>
            <a:buNone/>
            <a:tabLst/>
            <a:defRPr/>
          </a:pPr>
          <a:r>
            <a:rPr lang="es-ES" sz="1000" b="1">
              <a:solidFill>
                <a:sysClr val="windowText" lastClr="000000"/>
              </a:solidFill>
              <a:latin typeface="Arial" panose="020B0604020202020204" pitchFamily="34" charset="0"/>
              <a:ea typeface="Verdana" pitchFamily="34" charset="0"/>
              <a:cs typeface="Arial" panose="020B0604020202020204" pitchFamily="34" charset="0"/>
            </a:rPr>
            <a:t>GP:</a:t>
          </a:r>
          <a:r>
            <a:rPr lang="es-ES" sz="1000" b="1" baseline="0">
              <a:solidFill>
                <a:sysClr val="windowText" lastClr="000000"/>
              </a:solidFill>
              <a:latin typeface="Arial" panose="020B0604020202020204" pitchFamily="34" charset="0"/>
              <a:ea typeface="Verdana" pitchFamily="34" charset="0"/>
              <a:cs typeface="Arial" panose="020B0604020202020204" pitchFamily="34" charset="0"/>
            </a:rPr>
            <a:t> GESTIÓN DE PROYECTOS</a:t>
          </a:r>
          <a:endParaRPr lang="es-ES" sz="1000" b="1">
            <a:solidFill>
              <a:sysClr val="windowText" lastClr="000000"/>
            </a:solidFill>
            <a:latin typeface="Arial" panose="020B0604020202020204" pitchFamily="34" charset="0"/>
            <a:ea typeface="Verdana" pitchFamily="34" charset="0"/>
            <a:cs typeface="Arial" panose="020B0604020202020204" pitchFamily="34" charset="0"/>
          </a:endParaRPr>
        </a:p>
        <a:p>
          <a:pPr algn="ctr"/>
          <a:endParaRPr lang="es-CO" sz="1000">
            <a:latin typeface="Verdana" pitchFamily="34" charset="0"/>
            <a:ea typeface="Verdana" pitchFamily="34" charset="0"/>
            <a:cs typeface="Verdana" pitchFamily="34" charset="0"/>
          </a:endParaRPr>
        </a:p>
      </xdr:txBody>
    </xdr:sp>
    <xdr:clientData/>
  </xdr:twoCellAnchor>
  <xdr:twoCellAnchor>
    <xdr:from>
      <xdr:col>5</xdr:col>
      <xdr:colOff>734800</xdr:colOff>
      <xdr:row>24</xdr:row>
      <xdr:rowOff>163288</xdr:rowOff>
    </xdr:from>
    <xdr:to>
      <xdr:col>7</xdr:col>
      <xdr:colOff>870871</xdr:colOff>
      <xdr:row>28</xdr:row>
      <xdr:rowOff>40823</xdr:rowOff>
    </xdr:to>
    <xdr:sp macro="" textlink="">
      <xdr:nvSpPr>
        <xdr:cNvPr id="32" name="31 Rectángulo">
          <a:hlinkClick xmlns:r="http://schemas.openxmlformats.org/officeDocument/2006/relationships" r:id="rId5"/>
          <a:extLst>
            <a:ext uri="{FF2B5EF4-FFF2-40B4-BE49-F238E27FC236}">
              <a16:creationId xmlns:a16="http://schemas.microsoft.com/office/drawing/2014/main" id="{00000000-0008-0000-0000-000020000000}"/>
            </a:ext>
          </a:extLst>
        </xdr:cNvPr>
        <xdr:cNvSpPr/>
      </xdr:nvSpPr>
      <xdr:spPr>
        <a:xfrm>
          <a:off x="4871371" y="4327074"/>
          <a:ext cx="1660071" cy="680356"/>
        </a:xfrm>
        <a:prstGeom prst="rect">
          <a:avLst/>
        </a:prstGeom>
        <a:solidFill>
          <a:schemeClr val="accent6">
            <a:lumMod val="20000"/>
            <a:lumOff val="8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1000" b="1">
            <a:solidFill>
              <a:sysClr val="windowText" lastClr="000000"/>
            </a:solidFill>
            <a:latin typeface="Arial" panose="020B0604020202020204" pitchFamily="34" charset="0"/>
            <a:ea typeface="Verdana" pitchFamily="34" charset="0"/>
            <a:cs typeface="Arial" panose="020B0604020202020204" pitchFamily="34" charset="0"/>
          </a:endParaRPr>
        </a:p>
        <a:p>
          <a:pPr marL="0" marR="0" indent="0" algn="ctr" defTabSz="914400" eaLnBrk="1" fontAlgn="auto" latinLnBrk="0" hangingPunct="1">
            <a:lnSpc>
              <a:spcPct val="100000"/>
            </a:lnSpc>
            <a:spcBef>
              <a:spcPts val="0"/>
            </a:spcBef>
            <a:spcAft>
              <a:spcPts val="0"/>
            </a:spcAft>
            <a:buClrTx/>
            <a:buSzTx/>
            <a:buFontTx/>
            <a:buNone/>
            <a:tabLst/>
            <a:defRPr/>
          </a:pPr>
          <a:r>
            <a:rPr lang="es-ES" sz="1000" b="1">
              <a:solidFill>
                <a:sysClr val="windowText" lastClr="000000"/>
              </a:solidFill>
              <a:latin typeface="Arial" panose="020B0604020202020204" pitchFamily="34" charset="0"/>
              <a:ea typeface="Verdana" pitchFamily="34" charset="0"/>
              <a:cs typeface="Arial" panose="020B0604020202020204" pitchFamily="34" charset="0"/>
            </a:rPr>
            <a:t>AA:</a:t>
          </a:r>
          <a:r>
            <a:rPr lang="es-ES" sz="1000" b="1" baseline="0">
              <a:solidFill>
                <a:sysClr val="windowText" lastClr="000000"/>
              </a:solidFill>
              <a:latin typeface="Arial" panose="020B0604020202020204" pitchFamily="34" charset="0"/>
              <a:ea typeface="Verdana" pitchFamily="34" charset="0"/>
              <a:cs typeface="Arial" panose="020B0604020202020204" pitchFamily="34" charset="0"/>
            </a:rPr>
            <a:t> APLICACIÓN DE AUTORIDAD AMBIENTAL</a:t>
          </a:r>
          <a:endParaRPr lang="es-ES" sz="1000" b="1">
            <a:solidFill>
              <a:sysClr val="windowText" lastClr="000000"/>
            </a:solidFill>
            <a:latin typeface="Arial" panose="020B0604020202020204" pitchFamily="34" charset="0"/>
            <a:ea typeface="Verdana" pitchFamily="34" charset="0"/>
            <a:cs typeface="Arial" panose="020B0604020202020204" pitchFamily="34" charset="0"/>
          </a:endParaRPr>
        </a:p>
        <a:p>
          <a:pPr algn="ctr"/>
          <a:endParaRPr lang="es-CO" sz="1000">
            <a:latin typeface="Verdana" pitchFamily="34" charset="0"/>
            <a:ea typeface="Verdana" pitchFamily="34" charset="0"/>
            <a:cs typeface="Verdana" pitchFamily="34" charset="0"/>
          </a:endParaRPr>
        </a:p>
      </xdr:txBody>
    </xdr:sp>
    <xdr:clientData/>
  </xdr:twoCellAnchor>
  <xdr:twoCellAnchor>
    <xdr:from>
      <xdr:col>1</xdr:col>
      <xdr:colOff>381011</xdr:colOff>
      <xdr:row>29</xdr:row>
      <xdr:rowOff>68037</xdr:rowOff>
    </xdr:from>
    <xdr:to>
      <xdr:col>7</xdr:col>
      <xdr:colOff>693975</xdr:colOff>
      <xdr:row>44</xdr:row>
      <xdr:rowOff>27215</xdr:rowOff>
    </xdr:to>
    <xdr:sp macro="" textlink="">
      <xdr:nvSpPr>
        <xdr:cNvPr id="33" name="32 Llamada de flecha hacia arriba">
          <a:extLst>
            <a:ext uri="{FF2B5EF4-FFF2-40B4-BE49-F238E27FC236}">
              <a16:creationId xmlns:a16="http://schemas.microsoft.com/office/drawing/2014/main" id="{00000000-0008-0000-0000-000021000000}"/>
            </a:ext>
          </a:extLst>
        </xdr:cNvPr>
        <xdr:cNvSpPr/>
      </xdr:nvSpPr>
      <xdr:spPr>
        <a:xfrm>
          <a:off x="1469582" y="6136823"/>
          <a:ext cx="4884964" cy="2816678"/>
        </a:xfrm>
        <a:prstGeom prst="upArrowCallout">
          <a:avLst>
            <a:gd name="adj1" fmla="val 25000"/>
            <a:gd name="adj2" fmla="val 25000"/>
            <a:gd name="adj3" fmla="val 21135"/>
            <a:gd name="adj4" fmla="val 72970"/>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CO" sz="1100"/>
        </a:p>
      </xdr:txBody>
    </xdr:sp>
    <xdr:clientData/>
  </xdr:twoCellAnchor>
  <xdr:twoCellAnchor>
    <xdr:from>
      <xdr:col>1</xdr:col>
      <xdr:colOff>639546</xdr:colOff>
      <xdr:row>34</xdr:row>
      <xdr:rowOff>136073</xdr:rowOff>
    </xdr:from>
    <xdr:to>
      <xdr:col>4</xdr:col>
      <xdr:colOff>503481</xdr:colOff>
      <xdr:row>38</xdr:row>
      <xdr:rowOff>54429</xdr:rowOff>
    </xdr:to>
    <xdr:sp macro="" textlink="">
      <xdr:nvSpPr>
        <xdr:cNvPr id="37" name="36 Rectángulo">
          <a:hlinkClick xmlns:r="http://schemas.openxmlformats.org/officeDocument/2006/relationships" r:id="rId6"/>
          <a:extLst>
            <a:ext uri="{FF2B5EF4-FFF2-40B4-BE49-F238E27FC236}">
              <a16:creationId xmlns:a16="http://schemas.microsoft.com/office/drawing/2014/main" id="{00000000-0008-0000-0000-000025000000}"/>
            </a:ext>
          </a:extLst>
        </xdr:cNvPr>
        <xdr:cNvSpPr/>
      </xdr:nvSpPr>
      <xdr:spPr>
        <a:xfrm>
          <a:off x="1728117" y="6245680"/>
          <a:ext cx="2149935" cy="680356"/>
        </a:xfrm>
        <a:prstGeom prst="rect">
          <a:avLst/>
        </a:prstGeom>
        <a:solidFill>
          <a:srgbClr val="66FF9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1000" b="1">
            <a:solidFill>
              <a:sysClr val="windowText" lastClr="000000"/>
            </a:solidFill>
            <a:latin typeface="Arial" panose="020B0604020202020204" pitchFamily="34" charset="0"/>
            <a:ea typeface="Verdana" pitchFamily="34" charset="0"/>
            <a:cs typeface="Arial" panose="020B0604020202020204" pitchFamily="34" charset="0"/>
          </a:endParaRPr>
        </a:p>
        <a:p>
          <a:pPr marL="0" marR="0" indent="0" algn="ctr" defTabSz="914400" eaLnBrk="1" fontAlgn="auto" latinLnBrk="0" hangingPunct="1">
            <a:lnSpc>
              <a:spcPct val="100000"/>
            </a:lnSpc>
            <a:spcBef>
              <a:spcPts val="0"/>
            </a:spcBef>
            <a:spcAft>
              <a:spcPts val="0"/>
            </a:spcAft>
            <a:buClrTx/>
            <a:buSzTx/>
            <a:buFontTx/>
            <a:buNone/>
            <a:tabLst/>
            <a:defRPr/>
          </a:pPr>
          <a:r>
            <a:rPr lang="es-ES" sz="1000" b="1">
              <a:solidFill>
                <a:sysClr val="windowText" lastClr="000000"/>
              </a:solidFill>
              <a:latin typeface="Arial" panose="020B0604020202020204" pitchFamily="34" charset="0"/>
              <a:ea typeface="Verdana" pitchFamily="34" charset="0"/>
              <a:cs typeface="Arial" panose="020B0604020202020204" pitchFamily="34" charset="0"/>
            </a:rPr>
            <a:t>TH:</a:t>
          </a:r>
          <a:r>
            <a:rPr lang="es-ES" sz="1000" b="1" baseline="0">
              <a:solidFill>
                <a:sysClr val="windowText" lastClr="000000"/>
              </a:solidFill>
              <a:latin typeface="Arial" panose="020B0604020202020204" pitchFamily="34" charset="0"/>
              <a:ea typeface="Verdana" pitchFamily="34" charset="0"/>
              <a:cs typeface="Arial" panose="020B0604020202020204" pitchFamily="34" charset="0"/>
            </a:rPr>
            <a:t> GESTIÓN DEL TALENTO HUMANO</a:t>
          </a:r>
          <a:endParaRPr lang="es-ES" sz="1000" b="1">
            <a:solidFill>
              <a:sysClr val="windowText" lastClr="000000"/>
            </a:solidFill>
            <a:latin typeface="Arial" panose="020B0604020202020204" pitchFamily="34" charset="0"/>
            <a:ea typeface="Verdana" pitchFamily="34" charset="0"/>
            <a:cs typeface="Arial" panose="020B0604020202020204" pitchFamily="34" charset="0"/>
          </a:endParaRPr>
        </a:p>
        <a:p>
          <a:pPr algn="ctr"/>
          <a:endParaRPr lang="es-CO" sz="1000">
            <a:latin typeface="Arial" panose="020B0604020202020204" pitchFamily="34" charset="0"/>
            <a:ea typeface="Verdana" pitchFamily="34" charset="0"/>
            <a:cs typeface="Arial" panose="020B0604020202020204" pitchFamily="34" charset="0"/>
          </a:endParaRPr>
        </a:p>
      </xdr:txBody>
    </xdr:sp>
    <xdr:clientData/>
  </xdr:twoCellAnchor>
  <xdr:twoCellAnchor>
    <xdr:from>
      <xdr:col>4</xdr:col>
      <xdr:colOff>653162</xdr:colOff>
      <xdr:row>34</xdr:row>
      <xdr:rowOff>136071</xdr:rowOff>
    </xdr:from>
    <xdr:to>
      <xdr:col>7</xdr:col>
      <xdr:colOff>503483</xdr:colOff>
      <xdr:row>38</xdr:row>
      <xdr:rowOff>54430</xdr:rowOff>
    </xdr:to>
    <xdr:sp macro="" textlink="">
      <xdr:nvSpPr>
        <xdr:cNvPr id="38" name="37 Rectángulo">
          <a:hlinkClick xmlns:r="http://schemas.openxmlformats.org/officeDocument/2006/relationships" r:id="rId7"/>
          <a:extLst>
            <a:ext uri="{FF2B5EF4-FFF2-40B4-BE49-F238E27FC236}">
              <a16:creationId xmlns:a16="http://schemas.microsoft.com/office/drawing/2014/main" id="{00000000-0008-0000-0000-000026000000}"/>
            </a:ext>
          </a:extLst>
        </xdr:cNvPr>
        <xdr:cNvSpPr/>
      </xdr:nvSpPr>
      <xdr:spPr>
        <a:xfrm>
          <a:off x="4027733" y="6245678"/>
          <a:ext cx="2136321" cy="680359"/>
        </a:xfrm>
        <a:prstGeom prst="rect">
          <a:avLst/>
        </a:prstGeom>
        <a:solidFill>
          <a:srgbClr val="66FF9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CO" sz="1000" b="1">
              <a:solidFill>
                <a:sysClr val="windowText" lastClr="000000"/>
              </a:solidFill>
              <a:latin typeface="Arial" panose="020B0604020202020204" pitchFamily="34" charset="0"/>
              <a:ea typeface="Verdana" pitchFamily="34" charset="0"/>
              <a:cs typeface="Arial" panose="020B0604020202020204" pitchFamily="34" charset="0"/>
            </a:rPr>
            <a:t>RI:</a:t>
          </a:r>
          <a:r>
            <a:rPr lang="es-CO" sz="1000" b="1" baseline="0">
              <a:solidFill>
                <a:sysClr val="windowText" lastClr="000000"/>
              </a:solidFill>
              <a:latin typeface="Arial" panose="020B0604020202020204" pitchFamily="34" charset="0"/>
              <a:ea typeface="Verdana" pitchFamily="34" charset="0"/>
              <a:cs typeface="Arial" panose="020B0604020202020204" pitchFamily="34" charset="0"/>
            </a:rPr>
            <a:t> GESTIÓN DE RECURSOS E INFRAESTRUCTURA</a:t>
          </a:r>
          <a:endParaRPr lang="es-CO" sz="1000" b="1">
            <a:solidFill>
              <a:sysClr val="windowText" lastClr="000000"/>
            </a:solidFill>
            <a:latin typeface="Arial" panose="020B0604020202020204" pitchFamily="34" charset="0"/>
            <a:ea typeface="Verdana" pitchFamily="34" charset="0"/>
            <a:cs typeface="Arial" panose="020B0604020202020204" pitchFamily="34" charset="0"/>
          </a:endParaRPr>
        </a:p>
      </xdr:txBody>
    </xdr:sp>
    <xdr:clientData/>
  </xdr:twoCellAnchor>
  <xdr:twoCellAnchor>
    <xdr:from>
      <xdr:col>1</xdr:col>
      <xdr:colOff>639546</xdr:colOff>
      <xdr:row>39</xdr:row>
      <xdr:rowOff>13609</xdr:rowOff>
    </xdr:from>
    <xdr:to>
      <xdr:col>4</xdr:col>
      <xdr:colOff>503481</xdr:colOff>
      <xdr:row>42</xdr:row>
      <xdr:rowOff>122465</xdr:rowOff>
    </xdr:to>
    <xdr:sp macro="" textlink="">
      <xdr:nvSpPr>
        <xdr:cNvPr id="39" name="38 Rectángulo">
          <a:hlinkClick xmlns:r="http://schemas.openxmlformats.org/officeDocument/2006/relationships" r:id="rId8"/>
          <a:extLst>
            <a:ext uri="{FF2B5EF4-FFF2-40B4-BE49-F238E27FC236}">
              <a16:creationId xmlns:a16="http://schemas.microsoft.com/office/drawing/2014/main" id="{00000000-0008-0000-0000-000027000000}"/>
            </a:ext>
          </a:extLst>
        </xdr:cNvPr>
        <xdr:cNvSpPr/>
      </xdr:nvSpPr>
      <xdr:spPr>
        <a:xfrm>
          <a:off x="1728117" y="7075716"/>
          <a:ext cx="2149935" cy="680356"/>
        </a:xfrm>
        <a:prstGeom prst="rect">
          <a:avLst/>
        </a:prstGeom>
        <a:solidFill>
          <a:srgbClr val="66FF9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1000" b="1">
            <a:solidFill>
              <a:sysClr val="windowText" lastClr="000000"/>
            </a:solidFill>
            <a:latin typeface="Verdana" pitchFamily="34" charset="0"/>
            <a:ea typeface="Verdana" pitchFamily="34" charset="0"/>
            <a:cs typeface="Verdana" pitchFamily="34" charset="0"/>
          </a:endParaRPr>
        </a:p>
        <a:p>
          <a:pPr marL="0" marR="0" indent="0" algn="ctr" defTabSz="914400" eaLnBrk="1" fontAlgn="auto" latinLnBrk="0" hangingPunct="1">
            <a:lnSpc>
              <a:spcPct val="100000"/>
            </a:lnSpc>
            <a:spcBef>
              <a:spcPts val="0"/>
            </a:spcBef>
            <a:spcAft>
              <a:spcPts val="0"/>
            </a:spcAft>
            <a:buClrTx/>
            <a:buSzTx/>
            <a:buFontTx/>
            <a:buNone/>
            <a:tabLst/>
            <a:defRPr/>
          </a:pPr>
          <a:r>
            <a:rPr lang="es-ES" sz="1000" b="1">
              <a:solidFill>
                <a:sysClr val="windowText" lastClr="000000"/>
              </a:solidFill>
              <a:latin typeface="Arial" panose="020B0604020202020204" pitchFamily="34" charset="0"/>
              <a:ea typeface="Verdana" pitchFamily="34" charset="0"/>
              <a:cs typeface="Arial" panose="020B0604020202020204" pitchFamily="34" charset="0"/>
            </a:rPr>
            <a:t>FC: GESTIÓN FINANCIERA</a:t>
          </a:r>
          <a:r>
            <a:rPr lang="es-ES" sz="1000" b="1" baseline="0">
              <a:solidFill>
                <a:sysClr val="windowText" lastClr="000000"/>
              </a:solidFill>
              <a:latin typeface="Arial" panose="020B0604020202020204" pitchFamily="34" charset="0"/>
              <a:ea typeface="Verdana" pitchFamily="34" charset="0"/>
              <a:cs typeface="Arial" panose="020B0604020202020204" pitchFamily="34" charset="0"/>
            </a:rPr>
            <a:t> Y  CONTABLE</a:t>
          </a:r>
          <a:endParaRPr lang="es-ES" sz="1000" b="1">
            <a:solidFill>
              <a:sysClr val="windowText" lastClr="000000"/>
            </a:solidFill>
            <a:latin typeface="Arial" panose="020B0604020202020204" pitchFamily="34" charset="0"/>
            <a:ea typeface="Verdana" pitchFamily="34" charset="0"/>
            <a:cs typeface="Arial" panose="020B0604020202020204" pitchFamily="34" charset="0"/>
          </a:endParaRPr>
        </a:p>
        <a:p>
          <a:pPr algn="ctr"/>
          <a:endParaRPr lang="es-CO" sz="1000">
            <a:latin typeface="Verdana" pitchFamily="34" charset="0"/>
            <a:ea typeface="Verdana" pitchFamily="34" charset="0"/>
            <a:cs typeface="Verdana" pitchFamily="34" charset="0"/>
          </a:endParaRPr>
        </a:p>
      </xdr:txBody>
    </xdr:sp>
    <xdr:clientData/>
  </xdr:twoCellAnchor>
  <xdr:twoCellAnchor>
    <xdr:from>
      <xdr:col>4</xdr:col>
      <xdr:colOff>653162</xdr:colOff>
      <xdr:row>39</xdr:row>
      <xdr:rowOff>13607</xdr:rowOff>
    </xdr:from>
    <xdr:to>
      <xdr:col>7</xdr:col>
      <xdr:colOff>503483</xdr:colOff>
      <xdr:row>42</xdr:row>
      <xdr:rowOff>122466</xdr:rowOff>
    </xdr:to>
    <xdr:sp macro="" textlink="">
      <xdr:nvSpPr>
        <xdr:cNvPr id="40" name="39 Rectángulo">
          <a:hlinkClick xmlns:r="http://schemas.openxmlformats.org/officeDocument/2006/relationships" r:id="rId9"/>
          <a:extLst>
            <a:ext uri="{FF2B5EF4-FFF2-40B4-BE49-F238E27FC236}">
              <a16:creationId xmlns:a16="http://schemas.microsoft.com/office/drawing/2014/main" id="{00000000-0008-0000-0000-000028000000}"/>
            </a:ext>
          </a:extLst>
        </xdr:cNvPr>
        <xdr:cNvSpPr/>
      </xdr:nvSpPr>
      <xdr:spPr>
        <a:xfrm>
          <a:off x="4027733" y="7075714"/>
          <a:ext cx="2136321" cy="680359"/>
        </a:xfrm>
        <a:prstGeom prst="rect">
          <a:avLst/>
        </a:prstGeom>
        <a:solidFill>
          <a:srgbClr val="66FF9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CO" sz="1000" b="1">
              <a:solidFill>
                <a:sysClr val="windowText" lastClr="000000"/>
              </a:solidFill>
              <a:latin typeface="Arial" panose="020B0604020202020204" pitchFamily="34" charset="0"/>
              <a:ea typeface="Verdana" pitchFamily="34" charset="0"/>
              <a:cs typeface="Arial" panose="020B0604020202020204" pitchFamily="34" charset="0"/>
            </a:rPr>
            <a:t>LABORATORIO</a:t>
          </a:r>
          <a:r>
            <a:rPr lang="es-CO" sz="1000" b="1" baseline="0">
              <a:solidFill>
                <a:sysClr val="windowText" lastClr="000000"/>
              </a:solidFill>
              <a:latin typeface="Arial" panose="020B0604020202020204" pitchFamily="34" charset="0"/>
              <a:ea typeface="Verdana" pitchFamily="34" charset="0"/>
              <a:cs typeface="Arial" panose="020B0604020202020204" pitchFamily="34" charset="0"/>
            </a:rPr>
            <a:t> DE ANÁLISIS DE AGUAS</a:t>
          </a:r>
          <a:endParaRPr lang="es-CO" sz="1000" b="1">
            <a:solidFill>
              <a:sysClr val="windowText" lastClr="000000"/>
            </a:solidFill>
            <a:latin typeface="Arial" panose="020B0604020202020204" pitchFamily="34" charset="0"/>
            <a:ea typeface="Verdana" pitchFamily="34" charset="0"/>
            <a:cs typeface="Arial" panose="020B0604020202020204" pitchFamily="34" charset="0"/>
          </a:endParaRPr>
        </a:p>
      </xdr:txBody>
    </xdr:sp>
    <xdr:clientData/>
  </xdr:twoCellAnchor>
  <xdr:twoCellAnchor>
    <xdr:from>
      <xdr:col>0</xdr:col>
      <xdr:colOff>802821</xdr:colOff>
      <xdr:row>25</xdr:row>
      <xdr:rowOff>204107</xdr:rowOff>
    </xdr:from>
    <xdr:to>
      <xdr:col>1</xdr:col>
      <xdr:colOff>95250</xdr:colOff>
      <xdr:row>27</xdr:row>
      <xdr:rowOff>40822</xdr:rowOff>
    </xdr:to>
    <xdr:sp macro="" textlink="">
      <xdr:nvSpPr>
        <xdr:cNvPr id="41" name="40 Flecha a la derecha con bandas">
          <a:extLst>
            <a:ext uri="{FF2B5EF4-FFF2-40B4-BE49-F238E27FC236}">
              <a16:creationId xmlns:a16="http://schemas.microsoft.com/office/drawing/2014/main" id="{00000000-0008-0000-0000-000029000000}"/>
            </a:ext>
          </a:extLst>
        </xdr:cNvPr>
        <xdr:cNvSpPr/>
      </xdr:nvSpPr>
      <xdr:spPr>
        <a:xfrm>
          <a:off x="802821" y="4558393"/>
          <a:ext cx="381000" cy="258536"/>
        </a:xfrm>
        <a:prstGeom prst="stripedRightArrow">
          <a:avLst/>
        </a:prstGeom>
        <a:solidFill>
          <a:schemeClr val="tx1">
            <a:lumMod val="85000"/>
            <a:lumOff val="1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CO" sz="1100">
            <a:solidFill>
              <a:schemeClr val="tx1">
                <a:lumMod val="75000"/>
                <a:lumOff val="25000"/>
              </a:schemeClr>
            </a:solidFill>
          </a:endParaRPr>
        </a:p>
      </xdr:txBody>
    </xdr:sp>
    <xdr:clientData/>
  </xdr:twoCellAnchor>
  <xdr:twoCellAnchor>
    <xdr:from>
      <xdr:col>7</xdr:col>
      <xdr:colOff>1006928</xdr:colOff>
      <xdr:row>25</xdr:row>
      <xdr:rowOff>204107</xdr:rowOff>
    </xdr:from>
    <xdr:to>
      <xdr:col>8</xdr:col>
      <xdr:colOff>367392</xdr:colOff>
      <xdr:row>27</xdr:row>
      <xdr:rowOff>40822</xdr:rowOff>
    </xdr:to>
    <xdr:sp macro="" textlink="">
      <xdr:nvSpPr>
        <xdr:cNvPr id="43" name="42 Flecha a la derecha con bandas">
          <a:extLst>
            <a:ext uri="{FF2B5EF4-FFF2-40B4-BE49-F238E27FC236}">
              <a16:creationId xmlns:a16="http://schemas.microsoft.com/office/drawing/2014/main" id="{00000000-0008-0000-0000-00002B000000}"/>
            </a:ext>
          </a:extLst>
        </xdr:cNvPr>
        <xdr:cNvSpPr/>
      </xdr:nvSpPr>
      <xdr:spPr>
        <a:xfrm>
          <a:off x="6667499" y="4558393"/>
          <a:ext cx="381000" cy="258536"/>
        </a:xfrm>
        <a:prstGeom prst="stripedRightArrow">
          <a:avLst/>
        </a:prstGeom>
        <a:solidFill>
          <a:schemeClr val="tx1">
            <a:lumMod val="85000"/>
            <a:lumOff val="1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s-CO" sz="1100">
            <a:solidFill>
              <a:schemeClr val="tx1">
                <a:lumMod val="75000"/>
                <a:lumOff val="25000"/>
              </a:schemeClr>
            </a:solidFill>
          </a:endParaRPr>
        </a:p>
      </xdr:txBody>
    </xdr:sp>
    <xdr:clientData/>
  </xdr:twoCellAnchor>
  <xdr:twoCellAnchor>
    <xdr:from>
      <xdr:col>0</xdr:col>
      <xdr:colOff>194581</xdr:colOff>
      <xdr:row>19</xdr:row>
      <xdr:rowOff>122459</xdr:rowOff>
    </xdr:from>
    <xdr:to>
      <xdr:col>0</xdr:col>
      <xdr:colOff>594631</xdr:colOff>
      <xdr:row>35</xdr:row>
      <xdr:rowOff>68031</xdr:rowOff>
    </xdr:to>
    <xdr:sp macro="" textlink="">
      <xdr:nvSpPr>
        <xdr:cNvPr id="1025" name="AutoShape 1">
          <a:extLst>
            <a:ext uri="{FF2B5EF4-FFF2-40B4-BE49-F238E27FC236}">
              <a16:creationId xmlns:a16="http://schemas.microsoft.com/office/drawing/2014/main" id="{00000000-0008-0000-0000-000001040000}"/>
            </a:ext>
          </a:extLst>
        </xdr:cNvPr>
        <xdr:cNvSpPr>
          <a:spLocks noChangeArrowheads="1"/>
        </xdr:cNvSpPr>
      </xdr:nvSpPr>
      <xdr:spPr bwMode="auto">
        <a:xfrm>
          <a:off x="194581" y="4286245"/>
          <a:ext cx="400050" cy="2993572"/>
        </a:xfrm>
        <a:prstGeom prst="roundRect">
          <a:avLst>
            <a:gd name="adj" fmla="val 16667"/>
          </a:avLst>
        </a:prstGeom>
        <a:solidFill>
          <a:srgbClr val="FFFFFF"/>
        </a:solidFill>
        <a:ln w="9525">
          <a:solidFill>
            <a:srgbClr val="000000"/>
          </a:solidFill>
          <a:round/>
          <a:headEnd/>
          <a:tailEnd/>
        </a:ln>
      </xdr:spPr>
      <xdr:txBody>
        <a:bodyPr vertOverflow="clip" vert="vert270" wrap="square" lIns="91440" tIns="45720" rIns="91440" bIns="45720" anchor="t" upright="1"/>
        <a:lstStyle/>
        <a:p>
          <a:pPr algn="ctr" rtl="1">
            <a:defRPr sz="1000"/>
          </a:pPr>
          <a:r>
            <a:rPr lang="es-CO" sz="1100" b="1" i="0" strike="noStrike">
              <a:solidFill>
                <a:srgbClr val="000000"/>
              </a:solidFill>
              <a:latin typeface="Arial" panose="020B0604020202020204" pitchFamily="34" charset="0"/>
              <a:ea typeface="Verdana"/>
              <a:cs typeface="Arial" panose="020B0604020202020204" pitchFamily="34" charset="0"/>
            </a:rPr>
            <a:t>Necidades y Expectativas - Usuarios</a:t>
          </a:r>
        </a:p>
      </xdr:txBody>
    </xdr:sp>
    <xdr:clientData/>
  </xdr:twoCellAnchor>
  <xdr:twoCellAnchor>
    <xdr:from>
      <xdr:col>8</xdr:col>
      <xdr:colOff>466724</xdr:colOff>
      <xdr:row>21</xdr:row>
      <xdr:rowOff>68027</xdr:rowOff>
    </xdr:from>
    <xdr:to>
      <xdr:col>9</xdr:col>
      <xdr:colOff>104774</xdr:colOff>
      <xdr:row>32</xdr:row>
      <xdr:rowOff>95246</xdr:rowOff>
    </xdr:to>
    <xdr:sp macro="" textlink="">
      <xdr:nvSpPr>
        <xdr:cNvPr id="45" name="AutoShape 1">
          <a:extLst>
            <a:ext uri="{FF2B5EF4-FFF2-40B4-BE49-F238E27FC236}">
              <a16:creationId xmlns:a16="http://schemas.microsoft.com/office/drawing/2014/main" id="{00000000-0008-0000-0000-00002D000000}"/>
            </a:ext>
          </a:extLst>
        </xdr:cNvPr>
        <xdr:cNvSpPr>
          <a:spLocks noChangeArrowheads="1"/>
        </xdr:cNvSpPr>
      </xdr:nvSpPr>
      <xdr:spPr bwMode="auto">
        <a:xfrm>
          <a:off x="7143749" y="5211527"/>
          <a:ext cx="400050" cy="2122719"/>
        </a:xfrm>
        <a:prstGeom prst="roundRect">
          <a:avLst>
            <a:gd name="adj" fmla="val 16667"/>
          </a:avLst>
        </a:prstGeom>
        <a:solidFill>
          <a:srgbClr val="FFFFFF"/>
        </a:solidFill>
        <a:ln w="9525">
          <a:solidFill>
            <a:srgbClr val="000000"/>
          </a:solidFill>
          <a:round/>
          <a:headEnd/>
          <a:tailEnd/>
        </a:ln>
      </xdr:spPr>
      <xdr:txBody>
        <a:bodyPr vertOverflow="clip" vert="vert270" wrap="square" lIns="91440" tIns="45720" rIns="91440" bIns="45720" anchor="t" upright="1"/>
        <a:lstStyle/>
        <a:p>
          <a:pPr algn="ctr" rtl="1">
            <a:defRPr sz="1000"/>
          </a:pPr>
          <a:r>
            <a:rPr lang="es-CO" sz="1100" b="1" i="0" strike="noStrike">
              <a:solidFill>
                <a:srgbClr val="000000"/>
              </a:solidFill>
              <a:latin typeface="Arial" panose="020B0604020202020204" pitchFamily="34" charset="0"/>
              <a:ea typeface="Verdana"/>
              <a:cs typeface="Arial" panose="020B0604020202020204" pitchFamily="34" charset="0"/>
            </a:rPr>
            <a:t>Satisfacción</a:t>
          </a:r>
          <a:r>
            <a:rPr lang="es-CO" sz="1100" b="1" i="0" strike="noStrike" baseline="0">
              <a:solidFill>
                <a:srgbClr val="000000"/>
              </a:solidFill>
              <a:latin typeface="Arial" panose="020B0604020202020204" pitchFamily="34" charset="0"/>
              <a:ea typeface="Verdana"/>
              <a:cs typeface="Arial" panose="020B0604020202020204" pitchFamily="34" charset="0"/>
            </a:rPr>
            <a:t> - </a:t>
          </a:r>
          <a:r>
            <a:rPr lang="es-CO" sz="1100" b="1" i="0" strike="noStrike">
              <a:solidFill>
                <a:srgbClr val="000000"/>
              </a:solidFill>
              <a:latin typeface="Arial" panose="020B0604020202020204" pitchFamily="34" charset="0"/>
              <a:ea typeface="Verdana"/>
              <a:cs typeface="Arial" panose="020B0604020202020204" pitchFamily="34" charset="0"/>
            </a:rPr>
            <a:t>Usuarios</a:t>
          </a:r>
        </a:p>
      </xdr:txBody>
    </xdr:sp>
    <xdr:clientData/>
  </xdr:twoCellAnchor>
  <xdr:twoCellAnchor>
    <xdr:from>
      <xdr:col>0</xdr:col>
      <xdr:colOff>581660</xdr:colOff>
      <xdr:row>1</xdr:row>
      <xdr:rowOff>27941</xdr:rowOff>
    </xdr:from>
    <xdr:to>
      <xdr:col>2</xdr:col>
      <xdr:colOff>429260</xdr:colOff>
      <xdr:row>3</xdr:row>
      <xdr:rowOff>217652</xdr:rowOff>
    </xdr:to>
    <xdr:pic>
      <xdr:nvPicPr>
        <xdr:cNvPr id="21" name="Imagen 20">
          <a:extLst>
            <a:ext uri="{FF2B5EF4-FFF2-40B4-BE49-F238E27FC236}">
              <a16:creationId xmlns:a16="http://schemas.microsoft.com/office/drawing/2014/main" id="{E8CBF721-5841-4F3E-8089-87ACD77AEF7B}"/>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581660" y="222674"/>
          <a:ext cx="1794933" cy="7654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789213</xdr:colOff>
      <xdr:row>0</xdr:row>
      <xdr:rowOff>108857</xdr:rowOff>
    </xdr:from>
    <xdr:to>
      <xdr:col>8</xdr:col>
      <xdr:colOff>598714</xdr:colOff>
      <xdr:row>1</xdr:row>
      <xdr:rowOff>462644</xdr:rowOff>
    </xdr:to>
    <xdr:sp macro="" textlink="">
      <xdr:nvSpPr>
        <xdr:cNvPr id="10" name="9 Flecha izquierda">
          <a:hlinkClick xmlns:r="http://schemas.openxmlformats.org/officeDocument/2006/relationships" r:id="rId1"/>
          <a:extLst>
            <a:ext uri="{FF2B5EF4-FFF2-40B4-BE49-F238E27FC236}">
              <a16:creationId xmlns:a16="http://schemas.microsoft.com/office/drawing/2014/main" id="{5D1E7784-80D0-498E-BE05-01F7E57B253B}"/>
            </a:ext>
          </a:extLst>
        </xdr:cNvPr>
        <xdr:cNvSpPr/>
      </xdr:nvSpPr>
      <xdr:spPr>
        <a:xfrm>
          <a:off x="9865177" y="108857"/>
          <a:ext cx="1224644" cy="530680"/>
        </a:xfrm>
        <a:prstGeom prst="leftArrow">
          <a:avLst/>
        </a:prstGeom>
        <a:solidFill>
          <a:schemeClr val="tx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87086</xdr:colOff>
      <xdr:row>1</xdr:row>
      <xdr:rowOff>155121</xdr:rowOff>
    </xdr:from>
    <xdr:to>
      <xdr:col>8</xdr:col>
      <xdr:colOff>54429</xdr:colOff>
      <xdr:row>1</xdr:row>
      <xdr:rowOff>698046</xdr:rowOff>
    </xdr:to>
    <xdr:sp macro="" textlink="">
      <xdr:nvSpPr>
        <xdr:cNvPr id="4" name="9 Flecha izquierda">
          <a:hlinkClick xmlns:r="http://schemas.openxmlformats.org/officeDocument/2006/relationships" r:id="rId1"/>
          <a:extLst>
            <a:ext uri="{FF2B5EF4-FFF2-40B4-BE49-F238E27FC236}">
              <a16:creationId xmlns:a16="http://schemas.microsoft.com/office/drawing/2014/main" id="{00000000-0008-0000-0200-000004000000}"/>
            </a:ext>
          </a:extLst>
        </xdr:cNvPr>
        <xdr:cNvSpPr/>
      </xdr:nvSpPr>
      <xdr:spPr>
        <a:xfrm>
          <a:off x="9149443" y="332014"/>
          <a:ext cx="1382486" cy="542925"/>
        </a:xfrm>
        <a:prstGeom prst="leftArrow">
          <a:avLst/>
        </a:prstGeom>
        <a:solidFill>
          <a:schemeClr val="accent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794659</xdr:colOff>
      <xdr:row>1</xdr:row>
      <xdr:rowOff>114300</xdr:rowOff>
    </xdr:from>
    <xdr:to>
      <xdr:col>8</xdr:col>
      <xdr:colOff>762001</xdr:colOff>
      <xdr:row>1</xdr:row>
      <xdr:rowOff>657225</xdr:rowOff>
    </xdr:to>
    <xdr:sp macro="" textlink="">
      <xdr:nvSpPr>
        <xdr:cNvPr id="2" name="9 Flecha izquierda">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9761766" y="291193"/>
          <a:ext cx="1382485" cy="542925"/>
        </a:xfrm>
        <a:prstGeom prst="leftArrow">
          <a:avLst/>
        </a:prstGeom>
        <a:solidFill>
          <a:schemeClr val="accent6">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2</xdr:row>
      <xdr:rowOff>163285</xdr:rowOff>
    </xdr:from>
    <xdr:to>
      <xdr:col>0</xdr:col>
      <xdr:colOff>1</xdr:colOff>
      <xdr:row>13</xdr:row>
      <xdr:rowOff>136071</xdr:rowOff>
    </xdr:to>
    <xdr:graphicFrame macro="">
      <xdr:nvGraphicFramePr>
        <xdr:cNvPr id="2" name="Gráfico 1">
          <a:extLst>
            <a:ext uri="{FF2B5EF4-FFF2-40B4-BE49-F238E27FC236}">
              <a16:creationId xmlns:a16="http://schemas.microsoft.com/office/drawing/2014/main" id="{88B3C4A9-C9DE-437F-8992-B3B0AC00C7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269875</xdr:colOff>
      <xdr:row>2</xdr:row>
      <xdr:rowOff>326572</xdr:rowOff>
    </xdr:from>
    <xdr:to>
      <xdr:col>9</xdr:col>
      <xdr:colOff>2016125</xdr:colOff>
      <xdr:row>9</xdr:row>
      <xdr:rowOff>13606</xdr:rowOff>
    </xdr:to>
    <xdr:graphicFrame macro="">
      <xdr:nvGraphicFramePr>
        <xdr:cNvPr id="3" name="Gráfico 2">
          <a:extLst>
            <a:ext uri="{FF2B5EF4-FFF2-40B4-BE49-F238E27FC236}">
              <a16:creationId xmlns:a16="http://schemas.microsoft.com/office/drawing/2014/main" id="{B4E1BDA5-DA89-47F4-8F86-D9F6DBB8EA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3</xdr:row>
      <xdr:rowOff>163285</xdr:rowOff>
    </xdr:from>
    <xdr:to>
      <xdr:col>0</xdr:col>
      <xdr:colOff>1</xdr:colOff>
      <xdr:row>10</xdr:row>
      <xdr:rowOff>0</xdr:rowOff>
    </xdr:to>
    <xdr:graphicFrame macro="">
      <xdr:nvGraphicFramePr>
        <xdr:cNvPr id="2" name="Gráfico 1">
          <a:extLst>
            <a:ext uri="{FF2B5EF4-FFF2-40B4-BE49-F238E27FC236}">
              <a16:creationId xmlns:a16="http://schemas.microsoft.com/office/drawing/2014/main" id="{C4038D30-6100-4BA6-B5C3-84CE1731D6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381000</xdr:colOff>
      <xdr:row>4</xdr:row>
      <xdr:rowOff>13605</xdr:rowOff>
    </xdr:from>
    <xdr:to>
      <xdr:col>10</xdr:col>
      <xdr:colOff>1079500</xdr:colOff>
      <xdr:row>9</xdr:row>
      <xdr:rowOff>92981</xdr:rowOff>
    </xdr:to>
    <xdr:graphicFrame macro="">
      <xdr:nvGraphicFramePr>
        <xdr:cNvPr id="3" name="Gráfico 2">
          <a:extLst>
            <a:ext uri="{FF2B5EF4-FFF2-40B4-BE49-F238E27FC236}">
              <a16:creationId xmlns:a16="http://schemas.microsoft.com/office/drawing/2014/main" id="{6F6B239F-E87B-4F1F-B5D9-C0824330F4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7</xdr:col>
      <xdr:colOff>971551</xdr:colOff>
      <xdr:row>1</xdr:row>
      <xdr:rowOff>100693</xdr:rowOff>
    </xdr:from>
    <xdr:to>
      <xdr:col>8</xdr:col>
      <xdr:colOff>938893</xdr:colOff>
      <xdr:row>1</xdr:row>
      <xdr:rowOff>643618</xdr:rowOff>
    </xdr:to>
    <xdr:sp macro="" textlink="">
      <xdr:nvSpPr>
        <xdr:cNvPr id="3" name="9 Flecha izquierda">
          <a:hlinkClick xmlns:r="http://schemas.openxmlformats.org/officeDocument/2006/relationships" r:id="rId1"/>
          <a:extLst>
            <a:ext uri="{FF2B5EF4-FFF2-40B4-BE49-F238E27FC236}">
              <a16:creationId xmlns:a16="http://schemas.microsoft.com/office/drawing/2014/main" id="{00000000-0008-0000-0400-000003000000}"/>
            </a:ext>
          </a:extLst>
        </xdr:cNvPr>
        <xdr:cNvSpPr/>
      </xdr:nvSpPr>
      <xdr:spPr>
        <a:xfrm>
          <a:off x="10020301" y="277586"/>
          <a:ext cx="1382485" cy="542925"/>
        </a:xfrm>
        <a:prstGeom prst="leftArrow">
          <a:avLst/>
        </a:prstGeom>
        <a:solidFill>
          <a:schemeClr val="accent6">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2" name="9 Flecha izquierda">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15125701" y="114300"/>
          <a:ext cx="2016578" cy="54292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2"/>
          <a:extLst>
            <a:ext uri="{FF2B5EF4-FFF2-40B4-BE49-F238E27FC236}">
              <a16:creationId xmlns:a16="http://schemas.microsoft.com/office/drawing/2014/main" id="{00000000-0008-0000-0500-000003000000}"/>
            </a:ext>
          </a:extLst>
        </xdr:cNvPr>
        <xdr:cNvSpPr/>
      </xdr:nvSpPr>
      <xdr:spPr>
        <a:xfrm>
          <a:off x="15125701" y="114300"/>
          <a:ext cx="2016578" cy="54292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0</xdr:col>
      <xdr:colOff>171450</xdr:colOff>
      <xdr:row>36</xdr:row>
      <xdr:rowOff>138545</xdr:rowOff>
    </xdr:from>
    <xdr:to>
      <xdr:col>5</xdr:col>
      <xdr:colOff>1402773</xdr:colOff>
      <xdr:row>39</xdr:row>
      <xdr:rowOff>173182</xdr:rowOff>
    </xdr:to>
    <xdr:graphicFrame macro="">
      <xdr:nvGraphicFramePr>
        <xdr:cNvPr id="4" name="18 Gráfico">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171450</xdr:colOff>
      <xdr:row>51</xdr:row>
      <xdr:rowOff>7793</xdr:rowOff>
    </xdr:from>
    <xdr:to>
      <xdr:col>5</xdr:col>
      <xdr:colOff>1368136</xdr:colOff>
      <xdr:row>54</xdr:row>
      <xdr:rowOff>0</xdr:rowOff>
    </xdr:to>
    <xdr:graphicFrame macro="">
      <xdr:nvGraphicFramePr>
        <xdr:cNvPr id="5" name="20 Gráfico">
          <a:extLst>
            <a:ext uri="{FF2B5EF4-FFF2-40B4-BE49-F238E27FC236}">
              <a16:creationId xmlns:a16="http://schemas.microsoft.com/office/drawing/2014/main" id="{00000000-0008-0000-05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171450</xdr:colOff>
      <xdr:row>67</xdr:row>
      <xdr:rowOff>209550</xdr:rowOff>
    </xdr:from>
    <xdr:to>
      <xdr:col>5</xdr:col>
      <xdr:colOff>51954</xdr:colOff>
      <xdr:row>73</xdr:row>
      <xdr:rowOff>285750</xdr:rowOff>
    </xdr:to>
    <xdr:graphicFrame macro="">
      <xdr:nvGraphicFramePr>
        <xdr:cNvPr id="6" name="24 Gráfico">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2" name="9 Flecha izquierda">
          <a:hlinkClick xmlns:r="http://schemas.openxmlformats.org/officeDocument/2006/relationships" r:id="rId1"/>
          <a:extLst>
            <a:ext uri="{FF2B5EF4-FFF2-40B4-BE49-F238E27FC236}">
              <a16:creationId xmlns:a16="http://schemas.microsoft.com/office/drawing/2014/main" id="{00000000-0008-0000-0600-000002000000}"/>
            </a:ext>
          </a:extLst>
        </xdr:cNvPr>
        <xdr:cNvSpPr/>
      </xdr:nvSpPr>
      <xdr:spPr>
        <a:xfrm>
          <a:off x="20535901" y="114300"/>
          <a:ext cx="1911803" cy="25717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2"/>
          <a:extLst>
            <a:ext uri="{FF2B5EF4-FFF2-40B4-BE49-F238E27FC236}">
              <a16:creationId xmlns:a16="http://schemas.microsoft.com/office/drawing/2014/main" id="{00000000-0008-0000-0600-000003000000}"/>
            </a:ext>
          </a:extLst>
        </xdr:cNvPr>
        <xdr:cNvSpPr/>
      </xdr:nvSpPr>
      <xdr:spPr>
        <a:xfrm>
          <a:off x="20535901" y="114300"/>
          <a:ext cx="1911803" cy="25717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editAs="oneCell">
    <xdr:from>
      <xdr:col>11</xdr:col>
      <xdr:colOff>0</xdr:colOff>
      <xdr:row>120</xdr:row>
      <xdr:rowOff>0</xdr:rowOff>
    </xdr:from>
    <xdr:to>
      <xdr:col>15</xdr:col>
      <xdr:colOff>622860</xdr:colOff>
      <xdr:row>120</xdr:row>
      <xdr:rowOff>2861</xdr:rowOff>
    </xdr:to>
    <xdr:pic>
      <xdr:nvPicPr>
        <xdr:cNvPr id="4" name="19 Imagen">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698200" y="31099125"/>
          <a:ext cx="9547785" cy="2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120</xdr:row>
      <xdr:rowOff>0</xdr:rowOff>
    </xdr:from>
    <xdr:ext cx="9545744" cy="2861"/>
    <xdr:pic>
      <xdr:nvPicPr>
        <xdr:cNvPr id="5" name="19 Imagen">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698200" y="31099125"/>
          <a:ext cx="9545744" cy="28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9</xdr:col>
      <xdr:colOff>209551</xdr:colOff>
      <xdr:row>0</xdr:row>
      <xdr:rowOff>114300</xdr:rowOff>
    </xdr:from>
    <xdr:to>
      <xdr:col>10</xdr:col>
      <xdr:colOff>530679</xdr:colOff>
      <xdr:row>0</xdr:row>
      <xdr:rowOff>657225</xdr:rowOff>
    </xdr:to>
    <xdr:sp macro="" textlink="">
      <xdr:nvSpPr>
        <xdr:cNvPr id="6" name="9 Flecha izquierda">
          <a:hlinkClick xmlns:r="http://schemas.openxmlformats.org/officeDocument/2006/relationships" r:id="rId1"/>
          <a:extLst>
            <a:ext uri="{FF2B5EF4-FFF2-40B4-BE49-F238E27FC236}">
              <a16:creationId xmlns:a16="http://schemas.microsoft.com/office/drawing/2014/main" id="{00000000-0008-0000-0600-000006000000}"/>
            </a:ext>
          </a:extLst>
        </xdr:cNvPr>
        <xdr:cNvSpPr/>
      </xdr:nvSpPr>
      <xdr:spPr>
        <a:xfrm>
          <a:off x="19240501" y="114300"/>
          <a:ext cx="1911803" cy="25717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7" name="9 Flecha izquierda">
          <a:hlinkClick xmlns:r="http://schemas.openxmlformats.org/officeDocument/2006/relationships" r:id="rId2"/>
          <a:extLst>
            <a:ext uri="{FF2B5EF4-FFF2-40B4-BE49-F238E27FC236}">
              <a16:creationId xmlns:a16="http://schemas.microsoft.com/office/drawing/2014/main" id="{00000000-0008-0000-0600-000007000000}"/>
            </a:ext>
          </a:extLst>
        </xdr:cNvPr>
        <xdr:cNvSpPr/>
      </xdr:nvSpPr>
      <xdr:spPr>
        <a:xfrm>
          <a:off x="19240501" y="114300"/>
          <a:ext cx="1911803" cy="25717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editAs="oneCell">
    <xdr:from>
      <xdr:col>11</xdr:col>
      <xdr:colOff>0</xdr:colOff>
      <xdr:row>120</xdr:row>
      <xdr:rowOff>0</xdr:rowOff>
    </xdr:from>
    <xdr:to>
      <xdr:col>15</xdr:col>
      <xdr:colOff>622860</xdr:colOff>
      <xdr:row>120</xdr:row>
      <xdr:rowOff>2861</xdr:rowOff>
    </xdr:to>
    <xdr:pic>
      <xdr:nvPicPr>
        <xdr:cNvPr id="8" name="19 Imagen">
          <a:extLst>
            <a:ext uri="{FF2B5EF4-FFF2-40B4-BE49-F238E27FC236}">
              <a16:creationId xmlns:a16="http://schemas.microsoft.com/office/drawing/2014/main" id="{00000000-0008-0000-0600-000008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402800" y="37128450"/>
          <a:ext cx="9547785" cy="2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120</xdr:row>
      <xdr:rowOff>0</xdr:rowOff>
    </xdr:from>
    <xdr:ext cx="9545744" cy="2861"/>
    <xdr:pic>
      <xdr:nvPicPr>
        <xdr:cNvPr id="9" name="19 Imagen">
          <a:extLst>
            <a:ext uri="{FF2B5EF4-FFF2-40B4-BE49-F238E27FC236}">
              <a16:creationId xmlns:a16="http://schemas.microsoft.com/office/drawing/2014/main" id="{00000000-0008-0000-06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402800" y="37128450"/>
          <a:ext cx="9545744" cy="28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0</xdr:col>
      <xdr:colOff>0</xdr:colOff>
      <xdr:row>285</xdr:row>
      <xdr:rowOff>0</xdr:rowOff>
    </xdr:from>
    <xdr:to>
      <xdr:col>4</xdr:col>
      <xdr:colOff>241527</xdr:colOff>
      <xdr:row>293</xdr:row>
      <xdr:rowOff>415698</xdr:rowOff>
    </xdr:to>
    <xdr:graphicFrame macro="">
      <xdr:nvGraphicFramePr>
        <xdr:cNvPr id="12" name="Gráfico 11">
          <a:extLst>
            <a:ext uri="{FF2B5EF4-FFF2-40B4-BE49-F238E27FC236}">
              <a16:creationId xmlns:a16="http://schemas.microsoft.com/office/drawing/2014/main" id="{00000000-0008-0000-06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294</xdr:row>
      <xdr:rowOff>0</xdr:rowOff>
    </xdr:from>
    <xdr:to>
      <xdr:col>4</xdr:col>
      <xdr:colOff>241527</xdr:colOff>
      <xdr:row>309</xdr:row>
      <xdr:rowOff>75519</xdr:rowOff>
    </xdr:to>
    <xdr:graphicFrame macro="">
      <xdr:nvGraphicFramePr>
        <xdr:cNvPr id="13" name="Gráfico 12">
          <a:extLst>
            <a:ext uri="{FF2B5EF4-FFF2-40B4-BE49-F238E27FC236}">
              <a16:creationId xmlns:a16="http://schemas.microsoft.com/office/drawing/2014/main" id="{00000000-0008-0000-06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306160</xdr:colOff>
      <xdr:row>130</xdr:row>
      <xdr:rowOff>172810</xdr:rowOff>
    </xdr:from>
    <xdr:to>
      <xdr:col>5</xdr:col>
      <xdr:colOff>1279071</xdr:colOff>
      <xdr:row>142</xdr:row>
      <xdr:rowOff>421820</xdr:rowOff>
    </xdr:to>
    <xdr:graphicFrame macro="">
      <xdr:nvGraphicFramePr>
        <xdr:cNvPr id="10" name="Gráfico 9">
          <a:extLst>
            <a:ext uri="{FF2B5EF4-FFF2-40B4-BE49-F238E27FC236}">
              <a16:creationId xmlns:a16="http://schemas.microsoft.com/office/drawing/2014/main" id="{00000000-0008-0000-06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0</xdr:colOff>
      <xdr:row>145</xdr:row>
      <xdr:rowOff>0</xdr:rowOff>
    </xdr:from>
    <xdr:to>
      <xdr:col>5</xdr:col>
      <xdr:colOff>972911</xdr:colOff>
      <xdr:row>158</xdr:row>
      <xdr:rowOff>31296</xdr:rowOff>
    </xdr:to>
    <xdr:graphicFrame macro="">
      <xdr:nvGraphicFramePr>
        <xdr:cNvPr id="15" name="Gráfico 14">
          <a:extLst>
            <a:ext uri="{FF2B5EF4-FFF2-40B4-BE49-F238E27FC236}">
              <a16:creationId xmlns:a16="http://schemas.microsoft.com/office/drawing/2014/main" id="{00000000-0008-0000-06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1"/>
          <a:extLst>
            <a:ext uri="{FF2B5EF4-FFF2-40B4-BE49-F238E27FC236}">
              <a16:creationId xmlns:a16="http://schemas.microsoft.com/office/drawing/2014/main" id="{00000000-0008-0000-0700-000003000000}"/>
            </a:ext>
          </a:extLst>
        </xdr:cNvPr>
        <xdr:cNvSpPr/>
      </xdr:nvSpPr>
      <xdr:spPr>
        <a:xfrm>
          <a:off x="15963901" y="114300"/>
          <a:ext cx="1911803" cy="54292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4" name="9 Flecha izquierda">
          <a:hlinkClick xmlns:r="http://schemas.openxmlformats.org/officeDocument/2006/relationships" r:id="rId2"/>
          <a:extLst>
            <a:ext uri="{FF2B5EF4-FFF2-40B4-BE49-F238E27FC236}">
              <a16:creationId xmlns:a16="http://schemas.microsoft.com/office/drawing/2014/main" id="{00000000-0008-0000-0700-000004000000}"/>
            </a:ext>
          </a:extLst>
        </xdr:cNvPr>
        <xdr:cNvSpPr/>
      </xdr:nvSpPr>
      <xdr:spPr>
        <a:xfrm>
          <a:off x="15963901" y="114300"/>
          <a:ext cx="1911803" cy="54292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0</xdr:col>
      <xdr:colOff>171449</xdr:colOff>
      <xdr:row>101</xdr:row>
      <xdr:rowOff>38100</xdr:rowOff>
    </xdr:from>
    <xdr:to>
      <xdr:col>5</xdr:col>
      <xdr:colOff>1381124</xdr:colOff>
      <xdr:row>104</xdr:row>
      <xdr:rowOff>23813</xdr:rowOff>
    </xdr:to>
    <xdr:graphicFrame macro="">
      <xdr:nvGraphicFramePr>
        <xdr:cNvPr id="5" name="31 Gráfico">
          <a:extLst>
            <a:ext uri="{FF2B5EF4-FFF2-40B4-BE49-F238E27FC236}">
              <a16:creationId xmlns:a16="http://schemas.microsoft.com/office/drawing/2014/main" id="{00000000-0008-0000-07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171450</xdr:colOff>
      <xdr:row>125</xdr:row>
      <xdr:rowOff>76200</xdr:rowOff>
    </xdr:from>
    <xdr:to>
      <xdr:col>5</xdr:col>
      <xdr:colOff>1506682</xdr:colOff>
      <xdr:row>141</xdr:row>
      <xdr:rowOff>23813</xdr:rowOff>
    </xdr:to>
    <xdr:graphicFrame macro="">
      <xdr:nvGraphicFramePr>
        <xdr:cNvPr id="6" name="33 Gráfico">
          <a:extLst>
            <a:ext uri="{FF2B5EF4-FFF2-40B4-BE49-F238E27FC236}">
              <a16:creationId xmlns:a16="http://schemas.microsoft.com/office/drawing/2014/main" id="{00000000-0008-0000-07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171450</xdr:colOff>
      <xdr:row>206</xdr:row>
      <xdr:rowOff>76201</xdr:rowOff>
    </xdr:from>
    <xdr:to>
      <xdr:col>5</xdr:col>
      <xdr:colOff>1219200</xdr:colOff>
      <xdr:row>211</xdr:row>
      <xdr:rowOff>71438</xdr:rowOff>
    </xdr:to>
    <xdr:graphicFrame macro="">
      <xdr:nvGraphicFramePr>
        <xdr:cNvPr id="7" name="36 Gráfico">
          <a:extLst>
            <a:ext uri="{FF2B5EF4-FFF2-40B4-BE49-F238E27FC236}">
              <a16:creationId xmlns:a16="http://schemas.microsoft.com/office/drawing/2014/main" id="{00000000-0008-0000-07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171450</xdr:colOff>
      <xdr:row>290</xdr:row>
      <xdr:rowOff>19051</xdr:rowOff>
    </xdr:from>
    <xdr:to>
      <xdr:col>5</xdr:col>
      <xdr:colOff>1143000</xdr:colOff>
      <xdr:row>296</xdr:row>
      <xdr:rowOff>1452563</xdr:rowOff>
    </xdr:to>
    <xdr:graphicFrame macro="">
      <xdr:nvGraphicFramePr>
        <xdr:cNvPr id="8" name="38 Gráfico">
          <a:extLst>
            <a:ext uri="{FF2B5EF4-FFF2-40B4-BE49-F238E27FC236}">
              <a16:creationId xmlns:a16="http://schemas.microsoft.com/office/drawing/2014/main" id="{00000000-0008-0000-07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171450</xdr:colOff>
      <xdr:row>323</xdr:row>
      <xdr:rowOff>76200</xdr:rowOff>
    </xdr:from>
    <xdr:to>
      <xdr:col>5</xdr:col>
      <xdr:colOff>1104900</xdr:colOff>
      <xdr:row>329</xdr:row>
      <xdr:rowOff>1085850</xdr:rowOff>
    </xdr:to>
    <xdr:graphicFrame macro="">
      <xdr:nvGraphicFramePr>
        <xdr:cNvPr id="9" name="40 Gráfico">
          <a:extLst>
            <a:ext uri="{FF2B5EF4-FFF2-40B4-BE49-F238E27FC236}">
              <a16:creationId xmlns:a16="http://schemas.microsoft.com/office/drawing/2014/main" id="{00000000-0008-0000-07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171451</xdr:colOff>
      <xdr:row>43</xdr:row>
      <xdr:rowOff>1</xdr:rowOff>
    </xdr:from>
    <xdr:to>
      <xdr:col>5</xdr:col>
      <xdr:colOff>1415143</xdr:colOff>
      <xdr:row>54</xdr:row>
      <xdr:rowOff>176893</xdr:rowOff>
    </xdr:to>
    <xdr:graphicFrame macro="">
      <xdr:nvGraphicFramePr>
        <xdr:cNvPr id="11" name="34 Gráfico">
          <a:extLst>
            <a:ext uri="{FF2B5EF4-FFF2-40B4-BE49-F238E27FC236}">
              <a16:creationId xmlns:a16="http://schemas.microsoft.com/office/drawing/2014/main" id="{00000000-0008-0000-07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171451</xdr:colOff>
      <xdr:row>72</xdr:row>
      <xdr:rowOff>1</xdr:rowOff>
    </xdr:from>
    <xdr:to>
      <xdr:col>5</xdr:col>
      <xdr:colOff>1415143</xdr:colOff>
      <xdr:row>83</xdr:row>
      <xdr:rowOff>176893</xdr:rowOff>
    </xdr:to>
    <xdr:graphicFrame macro="">
      <xdr:nvGraphicFramePr>
        <xdr:cNvPr id="12" name="34 Gráfico">
          <a:extLst>
            <a:ext uri="{FF2B5EF4-FFF2-40B4-BE49-F238E27FC236}">
              <a16:creationId xmlns:a16="http://schemas.microsoft.com/office/drawing/2014/main" id="{00000000-0008-0000-07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173182</xdr:colOff>
      <xdr:row>141</xdr:row>
      <xdr:rowOff>207819</xdr:rowOff>
    </xdr:from>
    <xdr:to>
      <xdr:col>5</xdr:col>
      <xdr:colOff>1508414</xdr:colOff>
      <xdr:row>153</xdr:row>
      <xdr:rowOff>259340</xdr:rowOff>
    </xdr:to>
    <xdr:graphicFrame macro="">
      <xdr:nvGraphicFramePr>
        <xdr:cNvPr id="13" name="33 Gráfico">
          <a:extLst>
            <a:ext uri="{FF2B5EF4-FFF2-40B4-BE49-F238E27FC236}">
              <a16:creationId xmlns:a16="http://schemas.microsoft.com/office/drawing/2014/main" id="{00000000-0008-0000-07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171450</xdr:colOff>
      <xdr:row>226</xdr:row>
      <xdr:rowOff>197428</xdr:rowOff>
    </xdr:from>
    <xdr:to>
      <xdr:col>5</xdr:col>
      <xdr:colOff>1219200</xdr:colOff>
      <xdr:row>231</xdr:row>
      <xdr:rowOff>415636</xdr:rowOff>
    </xdr:to>
    <xdr:graphicFrame macro="">
      <xdr:nvGraphicFramePr>
        <xdr:cNvPr id="14" name="36 Gráfico">
          <a:extLst>
            <a:ext uri="{FF2B5EF4-FFF2-40B4-BE49-F238E27FC236}">
              <a16:creationId xmlns:a16="http://schemas.microsoft.com/office/drawing/2014/main" id="{00000000-0008-0000-07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0</xdr:col>
      <xdr:colOff>171450</xdr:colOff>
      <xdr:row>246</xdr:row>
      <xdr:rowOff>76200</xdr:rowOff>
    </xdr:from>
    <xdr:to>
      <xdr:col>5</xdr:col>
      <xdr:colOff>1219200</xdr:colOff>
      <xdr:row>251</xdr:row>
      <xdr:rowOff>238125</xdr:rowOff>
    </xdr:to>
    <xdr:graphicFrame macro="">
      <xdr:nvGraphicFramePr>
        <xdr:cNvPr id="17" name="36 Gráfico">
          <a:extLst>
            <a:ext uri="{FF2B5EF4-FFF2-40B4-BE49-F238E27FC236}">
              <a16:creationId xmlns:a16="http://schemas.microsoft.com/office/drawing/2014/main" id="{00000000-0008-0000-07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0</xdr:col>
      <xdr:colOff>171450</xdr:colOff>
      <xdr:row>266</xdr:row>
      <xdr:rowOff>76201</xdr:rowOff>
    </xdr:from>
    <xdr:to>
      <xdr:col>5</xdr:col>
      <xdr:colOff>1541318</xdr:colOff>
      <xdr:row>271</xdr:row>
      <xdr:rowOff>865909</xdr:rowOff>
    </xdr:to>
    <xdr:graphicFrame macro="">
      <xdr:nvGraphicFramePr>
        <xdr:cNvPr id="18" name="36 Gráfico">
          <a:extLst>
            <a:ext uri="{FF2B5EF4-FFF2-40B4-BE49-F238E27FC236}">
              <a16:creationId xmlns:a16="http://schemas.microsoft.com/office/drawing/2014/main" id="{00000000-0008-0000-07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0</xdr:col>
      <xdr:colOff>266700</xdr:colOff>
      <xdr:row>296</xdr:row>
      <xdr:rowOff>1600200</xdr:rowOff>
    </xdr:from>
    <xdr:to>
      <xdr:col>5</xdr:col>
      <xdr:colOff>1238250</xdr:colOff>
      <xdr:row>303</xdr:row>
      <xdr:rowOff>17318</xdr:rowOff>
    </xdr:to>
    <xdr:graphicFrame macro="">
      <xdr:nvGraphicFramePr>
        <xdr:cNvPr id="16" name="38 Gráfico">
          <a:extLst>
            <a:ext uri="{FF2B5EF4-FFF2-40B4-BE49-F238E27FC236}">
              <a16:creationId xmlns:a16="http://schemas.microsoft.com/office/drawing/2014/main" id="{00000000-0008-0000-07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11</xdr:col>
      <xdr:colOff>86591</xdr:colOff>
      <xdr:row>103</xdr:row>
      <xdr:rowOff>-1</xdr:rowOff>
    </xdr:from>
    <xdr:to>
      <xdr:col>14</xdr:col>
      <xdr:colOff>1749136</xdr:colOff>
      <xdr:row>103</xdr:row>
      <xdr:rowOff>4418232</xdr:rowOff>
    </xdr:to>
    <xdr:pic>
      <xdr:nvPicPr>
        <xdr:cNvPr id="19" name="Imagen 1">
          <a:extLst>
            <a:ext uri="{FF2B5EF4-FFF2-40B4-BE49-F238E27FC236}">
              <a16:creationId xmlns:a16="http://schemas.microsoft.com/office/drawing/2014/main" id="{00000000-0008-0000-0700-000013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9240500" y="66276681"/>
          <a:ext cx="9611591" cy="44182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69273</xdr:colOff>
      <xdr:row>105</xdr:row>
      <xdr:rowOff>0</xdr:rowOff>
    </xdr:from>
    <xdr:to>
      <xdr:col>14</xdr:col>
      <xdr:colOff>1724087</xdr:colOff>
      <xdr:row>106</xdr:row>
      <xdr:rowOff>224410</xdr:rowOff>
    </xdr:to>
    <xdr:pic>
      <xdr:nvPicPr>
        <xdr:cNvPr id="20" name="Imagen 19">
          <a:extLst>
            <a:ext uri="{FF2B5EF4-FFF2-40B4-BE49-F238E27FC236}">
              <a16:creationId xmlns:a16="http://schemas.microsoft.com/office/drawing/2014/main" id="{00000000-0008-0000-0700-000014000000}"/>
            </a:ext>
          </a:extLst>
        </xdr:cNvPr>
        <xdr:cNvPicPr>
          <a:picLocks noChangeAspect="1"/>
        </xdr:cNvPicPr>
      </xdr:nvPicPr>
      <xdr:blipFill>
        <a:blip xmlns:r="http://schemas.openxmlformats.org/officeDocument/2006/relationships" r:embed="rId16" cstate="print"/>
        <a:stretch>
          <a:fillRect/>
        </a:stretch>
      </xdr:blipFill>
      <xdr:spPr>
        <a:xfrm>
          <a:off x="19223182" y="71472136"/>
          <a:ext cx="9603860" cy="4328819"/>
        </a:xfrm>
        <a:prstGeom prst="rect">
          <a:avLst/>
        </a:prstGeom>
      </xdr:spPr>
    </xdr:pic>
    <xdr:clientData/>
  </xdr:twoCellAnchor>
  <xdr:twoCellAnchor editAs="oneCell">
    <xdr:from>
      <xdr:col>11</xdr:col>
      <xdr:colOff>0</xdr:colOff>
      <xdr:row>107</xdr:row>
      <xdr:rowOff>0</xdr:rowOff>
    </xdr:from>
    <xdr:to>
      <xdr:col>14</xdr:col>
      <xdr:colOff>1599173</xdr:colOff>
      <xdr:row>107</xdr:row>
      <xdr:rowOff>2861</xdr:rowOff>
    </xdr:to>
    <xdr:pic>
      <xdr:nvPicPr>
        <xdr:cNvPr id="21" name="19 Imagen">
          <a:extLst>
            <a:ext uri="{FF2B5EF4-FFF2-40B4-BE49-F238E27FC236}">
              <a16:creationId xmlns:a16="http://schemas.microsoft.com/office/drawing/2014/main" id="{00000000-0008-0000-0700-000015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9153909" y="76165364"/>
          <a:ext cx="9548219" cy="2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107</xdr:row>
      <xdr:rowOff>0</xdr:rowOff>
    </xdr:from>
    <xdr:to>
      <xdr:col>14</xdr:col>
      <xdr:colOff>1628600</xdr:colOff>
      <xdr:row>108</xdr:row>
      <xdr:rowOff>1004454</xdr:rowOff>
    </xdr:to>
    <xdr:pic>
      <xdr:nvPicPr>
        <xdr:cNvPr id="15" name="Imagen 14">
          <a:extLst>
            <a:ext uri="{FF2B5EF4-FFF2-40B4-BE49-F238E27FC236}">
              <a16:creationId xmlns:a16="http://schemas.microsoft.com/office/drawing/2014/main" id="{00000000-0008-0000-0700-00000F000000}"/>
            </a:ext>
          </a:extLst>
        </xdr:cNvPr>
        <xdr:cNvPicPr>
          <a:picLocks noChangeAspect="1"/>
        </xdr:cNvPicPr>
      </xdr:nvPicPr>
      <xdr:blipFill>
        <a:blip xmlns:r="http://schemas.openxmlformats.org/officeDocument/2006/relationships" r:embed="rId18" cstate="print"/>
        <a:stretch>
          <a:fillRect/>
        </a:stretch>
      </xdr:blipFill>
      <xdr:spPr>
        <a:xfrm>
          <a:off x="19153909" y="76165364"/>
          <a:ext cx="9577646" cy="2978727"/>
        </a:xfrm>
        <a:prstGeom prst="rect">
          <a:avLst/>
        </a:prstGeom>
      </xdr:spPr>
    </xdr:pic>
    <xdr:clientData/>
  </xdr:twoCellAnchor>
  <xdr:oneCellAnchor>
    <xdr:from>
      <xdr:col>11</xdr:col>
      <xdr:colOff>0</xdr:colOff>
      <xdr:row>110</xdr:row>
      <xdr:rowOff>0</xdr:rowOff>
    </xdr:from>
    <xdr:ext cx="9545744" cy="2861"/>
    <xdr:pic>
      <xdr:nvPicPr>
        <xdr:cNvPr id="22" name="19 Imagen">
          <a:extLst>
            <a:ext uri="{FF2B5EF4-FFF2-40B4-BE49-F238E27FC236}">
              <a16:creationId xmlns:a16="http://schemas.microsoft.com/office/drawing/2014/main" id="{00000000-0008-0000-0700-000016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9131643" y="76417714"/>
          <a:ext cx="9545744" cy="28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122464</xdr:colOff>
      <xdr:row>110</xdr:row>
      <xdr:rowOff>27215</xdr:rowOff>
    </xdr:from>
    <xdr:to>
      <xdr:col>14</xdr:col>
      <xdr:colOff>1741715</xdr:colOff>
      <xdr:row>111</xdr:row>
      <xdr:rowOff>1415143</xdr:rowOff>
    </xdr:to>
    <xdr:pic>
      <xdr:nvPicPr>
        <xdr:cNvPr id="23" name="Imagen 22">
          <a:extLst>
            <a:ext uri="{FF2B5EF4-FFF2-40B4-BE49-F238E27FC236}">
              <a16:creationId xmlns:a16="http://schemas.microsoft.com/office/drawing/2014/main" id="{00000000-0008-0000-0700-000017000000}"/>
            </a:ext>
          </a:extLst>
        </xdr:cNvPr>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19254107" y="77832858"/>
          <a:ext cx="9565822" cy="2530928"/>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3</xdr:row>
      <xdr:rowOff>163285</xdr:rowOff>
    </xdr:from>
    <xdr:to>
      <xdr:col>0</xdr:col>
      <xdr:colOff>1</xdr:colOff>
      <xdr:row>10</xdr:row>
      <xdr:rowOff>0</xdr:rowOff>
    </xdr:to>
    <xdr:graphicFrame macro="">
      <xdr:nvGraphicFramePr>
        <xdr:cNvPr id="2" name="Gráfico 1">
          <a:extLst>
            <a:ext uri="{FF2B5EF4-FFF2-40B4-BE49-F238E27FC236}">
              <a16:creationId xmlns:a16="http://schemas.microsoft.com/office/drawing/2014/main" id="{6C07DC07-2229-4115-AC43-7B5F00B0B2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1444625</xdr:colOff>
      <xdr:row>3</xdr:row>
      <xdr:rowOff>108855</xdr:rowOff>
    </xdr:from>
    <xdr:to>
      <xdr:col>9</xdr:col>
      <xdr:colOff>2000250</xdr:colOff>
      <xdr:row>9</xdr:row>
      <xdr:rowOff>13606</xdr:rowOff>
    </xdr:to>
    <xdr:graphicFrame macro="">
      <xdr:nvGraphicFramePr>
        <xdr:cNvPr id="3" name="Gráfico 2">
          <a:extLst>
            <a:ext uri="{FF2B5EF4-FFF2-40B4-BE49-F238E27FC236}">
              <a16:creationId xmlns:a16="http://schemas.microsoft.com/office/drawing/2014/main" id="{A73038DB-BDF1-403D-8233-AF57F08216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7</xdr:col>
      <xdr:colOff>454480</xdr:colOff>
      <xdr:row>1</xdr:row>
      <xdr:rowOff>87086</xdr:rowOff>
    </xdr:from>
    <xdr:to>
      <xdr:col>8</xdr:col>
      <xdr:colOff>435429</xdr:colOff>
      <xdr:row>1</xdr:row>
      <xdr:rowOff>630011</xdr:rowOff>
    </xdr:to>
    <xdr:sp macro="" textlink="">
      <xdr:nvSpPr>
        <xdr:cNvPr id="3" name="9 Flecha izquierda">
          <a:hlinkClick xmlns:r="http://schemas.openxmlformats.org/officeDocument/2006/relationships" r:id="rId1"/>
          <a:extLst>
            <a:ext uri="{FF2B5EF4-FFF2-40B4-BE49-F238E27FC236}">
              <a16:creationId xmlns:a16="http://schemas.microsoft.com/office/drawing/2014/main" id="{00000000-0008-0000-0800-000003000000}"/>
            </a:ext>
          </a:extLst>
        </xdr:cNvPr>
        <xdr:cNvSpPr/>
      </xdr:nvSpPr>
      <xdr:spPr>
        <a:xfrm>
          <a:off x="9503230" y="263979"/>
          <a:ext cx="1396092" cy="542925"/>
        </a:xfrm>
        <a:prstGeom prst="leftArrow">
          <a:avLst/>
        </a:prstGeom>
        <a:solidFill>
          <a:schemeClr val="accent6">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oneCellAnchor>
    <xdr:from>
      <xdr:col>11</xdr:col>
      <xdr:colOff>0</xdr:colOff>
      <xdr:row>32</xdr:row>
      <xdr:rowOff>0</xdr:rowOff>
    </xdr:from>
    <xdr:ext cx="9528922" cy="0"/>
    <xdr:pic>
      <xdr:nvPicPr>
        <xdr:cNvPr id="4" name="19 Imagen">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783550" y="37271325"/>
          <a:ext cx="9528922"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32</xdr:row>
      <xdr:rowOff>0</xdr:rowOff>
    </xdr:from>
    <xdr:ext cx="9528922" cy="0"/>
    <xdr:pic>
      <xdr:nvPicPr>
        <xdr:cNvPr id="5" name="19 Imagen">
          <a:extLst>
            <a:ext uri="{FF2B5EF4-FFF2-40B4-BE49-F238E27FC236}">
              <a16:creationId xmlns:a16="http://schemas.microsoft.com/office/drawing/2014/main" id="{00000000-0008-0000-08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783550" y="37271325"/>
          <a:ext cx="9528922"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3.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2" name="9 Flecha izquierda">
          <a:hlinkClick xmlns:r="http://schemas.openxmlformats.org/officeDocument/2006/relationships" r:id="rId1"/>
          <a:extLst>
            <a:ext uri="{FF2B5EF4-FFF2-40B4-BE49-F238E27FC236}">
              <a16:creationId xmlns:a16="http://schemas.microsoft.com/office/drawing/2014/main" id="{00000000-0008-0000-0900-000002000000}"/>
            </a:ext>
          </a:extLst>
        </xdr:cNvPr>
        <xdr:cNvSpPr/>
      </xdr:nvSpPr>
      <xdr:spPr>
        <a:xfrm>
          <a:off x="7067551" y="114300"/>
          <a:ext cx="1083128" cy="76200"/>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2"/>
          <a:extLst>
            <a:ext uri="{FF2B5EF4-FFF2-40B4-BE49-F238E27FC236}">
              <a16:creationId xmlns:a16="http://schemas.microsoft.com/office/drawing/2014/main" id="{00000000-0008-0000-0900-000003000000}"/>
            </a:ext>
          </a:extLst>
        </xdr:cNvPr>
        <xdr:cNvSpPr/>
      </xdr:nvSpPr>
      <xdr:spPr>
        <a:xfrm>
          <a:off x="7067551" y="114300"/>
          <a:ext cx="1083128" cy="76200"/>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oneCellAnchor>
    <xdr:from>
      <xdr:col>11</xdr:col>
      <xdr:colOff>0</xdr:colOff>
      <xdr:row>120</xdr:row>
      <xdr:rowOff>0</xdr:rowOff>
    </xdr:from>
    <xdr:ext cx="9563100" cy="0"/>
    <xdr:pic>
      <xdr:nvPicPr>
        <xdr:cNvPr id="4" name="19 Imagen">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382000" y="22860000"/>
          <a:ext cx="9563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120</xdr:row>
      <xdr:rowOff>0</xdr:rowOff>
    </xdr:from>
    <xdr:ext cx="9563100" cy="0"/>
    <xdr:pic>
      <xdr:nvPicPr>
        <xdr:cNvPr id="5" name="19 Imagen">
          <a:extLst>
            <a:ext uri="{FF2B5EF4-FFF2-40B4-BE49-F238E27FC236}">
              <a16:creationId xmlns:a16="http://schemas.microsoft.com/office/drawing/2014/main" id="{00000000-0008-0000-09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382000" y="22860000"/>
          <a:ext cx="9563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4.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2" name="9 Flecha izquierda">
          <a:hlinkClick xmlns:r="http://schemas.openxmlformats.org/officeDocument/2006/relationships" r:id="rId1"/>
          <a:extLst>
            <a:ext uri="{FF2B5EF4-FFF2-40B4-BE49-F238E27FC236}">
              <a16:creationId xmlns:a16="http://schemas.microsoft.com/office/drawing/2014/main" id="{00000000-0008-0000-0A00-000002000000}"/>
            </a:ext>
          </a:extLst>
        </xdr:cNvPr>
        <xdr:cNvSpPr/>
      </xdr:nvSpPr>
      <xdr:spPr>
        <a:xfrm>
          <a:off x="18107026" y="114300"/>
          <a:ext cx="1911803" cy="25717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2"/>
          <a:extLst>
            <a:ext uri="{FF2B5EF4-FFF2-40B4-BE49-F238E27FC236}">
              <a16:creationId xmlns:a16="http://schemas.microsoft.com/office/drawing/2014/main" id="{00000000-0008-0000-0A00-000003000000}"/>
            </a:ext>
          </a:extLst>
        </xdr:cNvPr>
        <xdr:cNvSpPr/>
      </xdr:nvSpPr>
      <xdr:spPr>
        <a:xfrm>
          <a:off x="18107026" y="114300"/>
          <a:ext cx="1911803" cy="257175"/>
        </a:xfrm>
        <a:prstGeom prst="leftArrow">
          <a:avLst/>
        </a:prstGeom>
        <a:solidFill>
          <a:schemeClr val="accent6">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editAs="oneCell">
    <xdr:from>
      <xdr:col>11</xdr:col>
      <xdr:colOff>0</xdr:colOff>
      <xdr:row>120</xdr:row>
      <xdr:rowOff>0</xdr:rowOff>
    </xdr:from>
    <xdr:to>
      <xdr:col>16</xdr:col>
      <xdr:colOff>133350</xdr:colOff>
      <xdr:row>120</xdr:row>
      <xdr:rowOff>0</xdr:rowOff>
    </xdr:to>
    <xdr:pic>
      <xdr:nvPicPr>
        <xdr:cNvPr id="4" name="19 Imagen">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1269325" y="37128450"/>
          <a:ext cx="9563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120</xdr:row>
      <xdr:rowOff>0</xdr:rowOff>
    </xdr:from>
    <xdr:to>
      <xdr:col>16</xdr:col>
      <xdr:colOff>133350</xdr:colOff>
      <xdr:row>120</xdr:row>
      <xdr:rowOff>0</xdr:rowOff>
    </xdr:to>
    <xdr:pic>
      <xdr:nvPicPr>
        <xdr:cNvPr id="5" name="19 Imagen">
          <a:extLst>
            <a:ext uri="{FF2B5EF4-FFF2-40B4-BE49-F238E27FC236}">
              <a16:creationId xmlns:a16="http://schemas.microsoft.com/office/drawing/2014/main" id="{00000000-0008-0000-0A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1269325" y="37128450"/>
          <a:ext cx="95631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25976</xdr:colOff>
      <xdr:row>131</xdr:row>
      <xdr:rowOff>161059</xdr:rowOff>
    </xdr:from>
    <xdr:to>
      <xdr:col>5</xdr:col>
      <xdr:colOff>2182090</xdr:colOff>
      <xdr:row>142</xdr:row>
      <xdr:rowOff>242455</xdr:rowOff>
    </xdr:to>
    <xdr:graphicFrame macro="">
      <xdr:nvGraphicFramePr>
        <xdr:cNvPr id="8" name="Gráfico 7">
          <a:extLst>
            <a:ext uri="{FF2B5EF4-FFF2-40B4-BE49-F238E27FC236}">
              <a16:creationId xmlns:a16="http://schemas.microsoft.com/office/drawing/2014/main" id="{00000000-0008-0000-0A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142</xdr:row>
      <xdr:rowOff>351558</xdr:rowOff>
    </xdr:from>
    <xdr:to>
      <xdr:col>5</xdr:col>
      <xdr:colOff>2095499</xdr:colOff>
      <xdr:row>154</xdr:row>
      <xdr:rowOff>121226</xdr:rowOff>
    </xdr:to>
    <xdr:graphicFrame macro="">
      <xdr:nvGraphicFramePr>
        <xdr:cNvPr id="9" name="Gráfico 8">
          <a:extLst>
            <a:ext uri="{FF2B5EF4-FFF2-40B4-BE49-F238E27FC236}">
              <a16:creationId xmlns:a16="http://schemas.microsoft.com/office/drawing/2014/main" id="{00000000-0008-0000-0A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1030432</xdr:colOff>
      <xdr:row>290</xdr:row>
      <xdr:rowOff>39831</xdr:rowOff>
    </xdr:from>
    <xdr:to>
      <xdr:col>3</xdr:col>
      <xdr:colOff>320387</xdr:colOff>
      <xdr:row>297</xdr:row>
      <xdr:rowOff>64077</xdr:rowOff>
    </xdr:to>
    <xdr:graphicFrame macro="">
      <xdr:nvGraphicFramePr>
        <xdr:cNvPr id="10" name="Gráfico 9">
          <a:extLst>
            <a:ext uri="{FF2B5EF4-FFF2-40B4-BE49-F238E27FC236}">
              <a16:creationId xmlns:a16="http://schemas.microsoft.com/office/drawing/2014/main" id="{00000000-0008-0000-0A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129885</xdr:colOff>
      <xdr:row>297</xdr:row>
      <xdr:rowOff>351558</xdr:rowOff>
    </xdr:from>
    <xdr:to>
      <xdr:col>4</xdr:col>
      <xdr:colOff>311726</xdr:colOff>
      <xdr:row>303</xdr:row>
      <xdr:rowOff>259773</xdr:rowOff>
    </xdr:to>
    <xdr:graphicFrame macro="">
      <xdr:nvGraphicFramePr>
        <xdr:cNvPr id="11" name="Gráfico 10">
          <a:extLst>
            <a:ext uri="{FF2B5EF4-FFF2-40B4-BE49-F238E27FC236}">
              <a16:creationId xmlns:a16="http://schemas.microsoft.com/office/drawing/2014/main" id="{00000000-0008-0000-0A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7</xdr:col>
      <xdr:colOff>604157</xdr:colOff>
      <xdr:row>1</xdr:row>
      <xdr:rowOff>114300</xdr:rowOff>
    </xdr:from>
    <xdr:to>
      <xdr:col>8</xdr:col>
      <xdr:colOff>571500</xdr:colOff>
      <xdr:row>1</xdr:row>
      <xdr:rowOff>657225</xdr:rowOff>
    </xdr:to>
    <xdr:sp macro="" textlink="">
      <xdr:nvSpPr>
        <xdr:cNvPr id="3" name="9 Flecha izquierda">
          <a:hlinkClick xmlns:r="http://schemas.openxmlformats.org/officeDocument/2006/relationships" r:id="rId1"/>
          <a:extLst>
            <a:ext uri="{FF2B5EF4-FFF2-40B4-BE49-F238E27FC236}">
              <a16:creationId xmlns:a16="http://schemas.microsoft.com/office/drawing/2014/main" id="{00000000-0008-0000-0B00-000003000000}"/>
            </a:ext>
          </a:extLst>
        </xdr:cNvPr>
        <xdr:cNvSpPr/>
      </xdr:nvSpPr>
      <xdr:spPr>
        <a:xfrm>
          <a:off x="9707336" y="114300"/>
          <a:ext cx="1382485" cy="542925"/>
        </a:xfrm>
        <a:prstGeom prst="leftArrow">
          <a:avLst/>
        </a:prstGeom>
        <a:solidFill>
          <a:srgbClr val="007E3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1"/>
          <a:extLst>
            <a:ext uri="{FF2B5EF4-FFF2-40B4-BE49-F238E27FC236}">
              <a16:creationId xmlns:a16="http://schemas.microsoft.com/office/drawing/2014/main" id="{00000000-0008-0000-0C00-000003000000}"/>
            </a:ext>
          </a:extLst>
        </xdr:cNvPr>
        <xdr:cNvSpPr/>
      </xdr:nvSpPr>
      <xdr:spPr>
        <a:xfrm>
          <a:off x="15544801" y="114300"/>
          <a:ext cx="2083253"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4" name="9 Flecha izquierda">
          <a:hlinkClick xmlns:r="http://schemas.openxmlformats.org/officeDocument/2006/relationships" r:id="rId2"/>
          <a:extLst>
            <a:ext uri="{FF2B5EF4-FFF2-40B4-BE49-F238E27FC236}">
              <a16:creationId xmlns:a16="http://schemas.microsoft.com/office/drawing/2014/main" id="{00000000-0008-0000-0C00-000004000000}"/>
            </a:ext>
          </a:extLst>
        </xdr:cNvPr>
        <xdr:cNvSpPr/>
      </xdr:nvSpPr>
      <xdr:spPr>
        <a:xfrm>
          <a:off x="15544801" y="114300"/>
          <a:ext cx="2083253"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0</xdr:col>
      <xdr:colOff>100012</xdr:colOff>
      <xdr:row>31</xdr:row>
      <xdr:rowOff>519112</xdr:rowOff>
    </xdr:from>
    <xdr:to>
      <xdr:col>5</xdr:col>
      <xdr:colOff>1368136</xdr:colOff>
      <xdr:row>35</xdr:row>
      <xdr:rowOff>0</xdr:rowOff>
    </xdr:to>
    <xdr:graphicFrame macro="">
      <xdr:nvGraphicFramePr>
        <xdr:cNvPr id="5" name="13 Gráfico">
          <a:extLst>
            <a:ext uri="{FF2B5EF4-FFF2-40B4-BE49-F238E27FC236}">
              <a16:creationId xmlns:a16="http://schemas.microsoft.com/office/drawing/2014/main" id="{00000000-0008-0000-0C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171450</xdr:colOff>
      <xdr:row>53</xdr:row>
      <xdr:rowOff>36367</xdr:rowOff>
    </xdr:from>
    <xdr:to>
      <xdr:col>5</xdr:col>
      <xdr:colOff>1281545</xdr:colOff>
      <xdr:row>56</xdr:row>
      <xdr:rowOff>1316181</xdr:rowOff>
    </xdr:to>
    <xdr:graphicFrame macro="">
      <xdr:nvGraphicFramePr>
        <xdr:cNvPr id="6" name="15 Gráfico">
          <a:extLst>
            <a:ext uri="{FF2B5EF4-FFF2-40B4-BE49-F238E27FC236}">
              <a16:creationId xmlns:a16="http://schemas.microsoft.com/office/drawing/2014/main" id="{00000000-0008-0000-0C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773204</xdr:colOff>
      <xdr:row>157</xdr:row>
      <xdr:rowOff>1401855</xdr:rowOff>
    </xdr:from>
    <xdr:to>
      <xdr:col>5</xdr:col>
      <xdr:colOff>1098176</xdr:colOff>
      <xdr:row>164</xdr:row>
      <xdr:rowOff>851647</xdr:rowOff>
    </xdr:to>
    <xdr:graphicFrame macro="">
      <xdr:nvGraphicFramePr>
        <xdr:cNvPr id="2" name="Gráfico 1">
          <a:extLst>
            <a:ext uri="{FF2B5EF4-FFF2-40B4-BE49-F238E27FC236}">
              <a16:creationId xmlns:a16="http://schemas.microsoft.com/office/drawing/2014/main" id="{00000000-0008-0000-0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7</xdr:col>
      <xdr:colOff>495302</xdr:colOff>
      <xdr:row>1</xdr:row>
      <xdr:rowOff>100693</xdr:rowOff>
    </xdr:from>
    <xdr:to>
      <xdr:col>8</xdr:col>
      <xdr:colOff>462644</xdr:colOff>
      <xdr:row>1</xdr:row>
      <xdr:rowOff>643618</xdr:rowOff>
    </xdr:to>
    <xdr:sp macro="" textlink="">
      <xdr:nvSpPr>
        <xdr:cNvPr id="3" name="9 Flecha izquierda">
          <a:hlinkClick xmlns:r="http://schemas.openxmlformats.org/officeDocument/2006/relationships" r:id="rId1"/>
          <a:extLst>
            <a:ext uri="{FF2B5EF4-FFF2-40B4-BE49-F238E27FC236}">
              <a16:creationId xmlns:a16="http://schemas.microsoft.com/office/drawing/2014/main" id="{00000000-0008-0000-0D00-000003000000}"/>
            </a:ext>
          </a:extLst>
        </xdr:cNvPr>
        <xdr:cNvSpPr/>
      </xdr:nvSpPr>
      <xdr:spPr>
        <a:xfrm>
          <a:off x="9544052" y="277586"/>
          <a:ext cx="1382485" cy="542925"/>
        </a:xfrm>
        <a:prstGeom prst="leftArrow">
          <a:avLst/>
        </a:prstGeom>
        <a:solidFill>
          <a:srgbClr val="0099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2" name="9 Flecha izquierda">
          <a:hlinkClick xmlns:r="http://schemas.openxmlformats.org/officeDocument/2006/relationships" r:id="rId1"/>
          <a:extLst>
            <a:ext uri="{FF2B5EF4-FFF2-40B4-BE49-F238E27FC236}">
              <a16:creationId xmlns:a16="http://schemas.microsoft.com/office/drawing/2014/main" id="{00000000-0008-0000-0E00-000002000000}"/>
            </a:ext>
          </a:extLst>
        </xdr:cNvPr>
        <xdr:cNvSpPr/>
      </xdr:nvSpPr>
      <xdr:spPr>
        <a:xfrm>
          <a:off x="7067551" y="114300"/>
          <a:ext cx="1083128" cy="76200"/>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2"/>
          <a:extLst>
            <a:ext uri="{FF2B5EF4-FFF2-40B4-BE49-F238E27FC236}">
              <a16:creationId xmlns:a16="http://schemas.microsoft.com/office/drawing/2014/main" id="{00000000-0008-0000-0E00-000003000000}"/>
            </a:ext>
          </a:extLst>
        </xdr:cNvPr>
        <xdr:cNvSpPr/>
      </xdr:nvSpPr>
      <xdr:spPr>
        <a:xfrm>
          <a:off x="7067551" y="114300"/>
          <a:ext cx="1083128" cy="76200"/>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0</xdr:col>
      <xdr:colOff>242887</xdr:colOff>
      <xdr:row>36</xdr:row>
      <xdr:rowOff>19048</xdr:rowOff>
    </xdr:from>
    <xdr:to>
      <xdr:col>5</xdr:col>
      <xdr:colOff>1381124</xdr:colOff>
      <xdr:row>42</xdr:row>
      <xdr:rowOff>857248</xdr:rowOff>
    </xdr:to>
    <xdr:graphicFrame macro="">
      <xdr:nvGraphicFramePr>
        <xdr:cNvPr id="4" name="30 Gráfico">
          <a:extLst>
            <a:ext uri="{FF2B5EF4-FFF2-40B4-BE49-F238E27FC236}">
              <a16:creationId xmlns:a16="http://schemas.microsoft.com/office/drawing/2014/main" id="{00000000-0008-0000-0E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171448</xdr:colOff>
      <xdr:row>60</xdr:row>
      <xdr:rowOff>36369</xdr:rowOff>
    </xdr:from>
    <xdr:to>
      <xdr:col>5</xdr:col>
      <xdr:colOff>1404936</xdr:colOff>
      <xdr:row>76</xdr:row>
      <xdr:rowOff>214312</xdr:rowOff>
    </xdr:to>
    <xdr:graphicFrame macro="">
      <xdr:nvGraphicFramePr>
        <xdr:cNvPr id="5" name="32 Gráfico">
          <a:extLst>
            <a:ext uri="{FF2B5EF4-FFF2-40B4-BE49-F238E27FC236}">
              <a16:creationId xmlns:a16="http://schemas.microsoft.com/office/drawing/2014/main" id="{00000000-0008-0000-0E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171450</xdr:colOff>
      <xdr:row>96</xdr:row>
      <xdr:rowOff>180975</xdr:rowOff>
    </xdr:from>
    <xdr:to>
      <xdr:col>5</xdr:col>
      <xdr:colOff>1333499</xdr:colOff>
      <xdr:row>107</xdr:row>
      <xdr:rowOff>523875</xdr:rowOff>
    </xdr:to>
    <xdr:graphicFrame macro="">
      <xdr:nvGraphicFramePr>
        <xdr:cNvPr id="6" name="34 Gráfico">
          <a:extLst>
            <a:ext uri="{FF2B5EF4-FFF2-40B4-BE49-F238E27FC236}">
              <a16:creationId xmlns:a16="http://schemas.microsoft.com/office/drawing/2014/main" id="{00000000-0008-0000-0E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171450</xdr:colOff>
      <xdr:row>116</xdr:row>
      <xdr:rowOff>180974</xdr:rowOff>
    </xdr:from>
    <xdr:to>
      <xdr:col>5</xdr:col>
      <xdr:colOff>1295400</xdr:colOff>
      <xdr:row>125</xdr:row>
      <xdr:rowOff>552449</xdr:rowOff>
    </xdr:to>
    <xdr:graphicFrame macro="">
      <xdr:nvGraphicFramePr>
        <xdr:cNvPr id="7" name="36 Gráfico">
          <a:extLst>
            <a:ext uri="{FF2B5EF4-FFF2-40B4-BE49-F238E27FC236}">
              <a16:creationId xmlns:a16="http://schemas.microsoft.com/office/drawing/2014/main" id="{00000000-0008-0000-0E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1"/>
          <a:extLst>
            <a:ext uri="{FF2B5EF4-FFF2-40B4-BE49-F238E27FC236}">
              <a16:creationId xmlns:a16="http://schemas.microsoft.com/office/drawing/2014/main" id="{00000000-0008-0000-0F00-000003000000}"/>
            </a:ext>
          </a:extLst>
        </xdr:cNvPr>
        <xdr:cNvSpPr/>
      </xdr:nvSpPr>
      <xdr:spPr>
        <a:xfrm>
          <a:off x="15478126" y="114300"/>
          <a:ext cx="1778453"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4" name="9 Flecha izquierda">
          <a:hlinkClick xmlns:r="http://schemas.openxmlformats.org/officeDocument/2006/relationships" r:id="rId2"/>
          <a:extLst>
            <a:ext uri="{FF2B5EF4-FFF2-40B4-BE49-F238E27FC236}">
              <a16:creationId xmlns:a16="http://schemas.microsoft.com/office/drawing/2014/main" id="{00000000-0008-0000-0F00-000004000000}"/>
            </a:ext>
          </a:extLst>
        </xdr:cNvPr>
        <xdr:cNvSpPr/>
      </xdr:nvSpPr>
      <xdr:spPr>
        <a:xfrm>
          <a:off x="15478126" y="114300"/>
          <a:ext cx="1778453"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0</xdr:col>
      <xdr:colOff>242887</xdr:colOff>
      <xdr:row>32</xdr:row>
      <xdr:rowOff>19048</xdr:rowOff>
    </xdr:from>
    <xdr:to>
      <xdr:col>5</xdr:col>
      <xdr:colOff>1381124</xdr:colOff>
      <xdr:row>38</xdr:row>
      <xdr:rowOff>857248</xdr:rowOff>
    </xdr:to>
    <xdr:graphicFrame macro="">
      <xdr:nvGraphicFramePr>
        <xdr:cNvPr id="5" name="30 Gráfico">
          <a:extLst>
            <a:ext uri="{FF2B5EF4-FFF2-40B4-BE49-F238E27FC236}">
              <a16:creationId xmlns:a16="http://schemas.microsoft.com/office/drawing/2014/main" id="{00000000-0008-0000-0F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171448</xdr:colOff>
      <xdr:row>54</xdr:row>
      <xdr:rowOff>36369</xdr:rowOff>
    </xdr:from>
    <xdr:to>
      <xdr:col>5</xdr:col>
      <xdr:colOff>1404936</xdr:colOff>
      <xdr:row>70</xdr:row>
      <xdr:rowOff>214312</xdr:rowOff>
    </xdr:to>
    <xdr:graphicFrame macro="">
      <xdr:nvGraphicFramePr>
        <xdr:cNvPr id="6" name="32 Gráfico">
          <a:extLst>
            <a:ext uri="{FF2B5EF4-FFF2-40B4-BE49-F238E27FC236}">
              <a16:creationId xmlns:a16="http://schemas.microsoft.com/office/drawing/2014/main" id="{00000000-0008-0000-0F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171450</xdr:colOff>
      <xdr:row>90</xdr:row>
      <xdr:rowOff>180975</xdr:rowOff>
    </xdr:from>
    <xdr:to>
      <xdr:col>5</xdr:col>
      <xdr:colOff>1333499</xdr:colOff>
      <xdr:row>101</xdr:row>
      <xdr:rowOff>523875</xdr:rowOff>
    </xdr:to>
    <xdr:graphicFrame macro="">
      <xdr:nvGraphicFramePr>
        <xdr:cNvPr id="7" name="34 Gráfico">
          <a:extLst>
            <a:ext uri="{FF2B5EF4-FFF2-40B4-BE49-F238E27FC236}">
              <a16:creationId xmlns:a16="http://schemas.microsoft.com/office/drawing/2014/main" id="{00000000-0008-0000-0F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171450</xdr:colOff>
      <xdr:row>110</xdr:row>
      <xdr:rowOff>180974</xdr:rowOff>
    </xdr:from>
    <xdr:to>
      <xdr:col>5</xdr:col>
      <xdr:colOff>1295400</xdr:colOff>
      <xdr:row>119</xdr:row>
      <xdr:rowOff>552449</xdr:rowOff>
    </xdr:to>
    <xdr:graphicFrame macro="">
      <xdr:nvGraphicFramePr>
        <xdr:cNvPr id="8" name="36 Gráfico">
          <a:extLst>
            <a:ext uri="{FF2B5EF4-FFF2-40B4-BE49-F238E27FC236}">
              <a16:creationId xmlns:a16="http://schemas.microsoft.com/office/drawing/2014/main" id="{00000000-0008-0000-0F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7</xdr:col>
      <xdr:colOff>699409</xdr:colOff>
      <xdr:row>1</xdr:row>
      <xdr:rowOff>127907</xdr:rowOff>
    </xdr:from>
    <xdr:to>
      <xdr:col>8</xdr:col>
      <xdr:colOff>666751</xdr:colOff>
      <xdr:row>1</xdr:row>
      <xdr:rowOff>670832</xdr:rowOff>
    </xdr:to>
    <xdr:sp macro="" textlink="">
      <xdr:nvSpPr>
        <xdr:cNvPr id="7" name="9 Flecha izquierda">
          <a:hlinkClick xmlns:r="http://schemas.openxmlformats.org/officeDocument/2006/relationships" r:id="rId1"/>
          <a:extLst>
            <a:ext uri="{FF2B5EF4-FFF2-40B4-BE49-F238E27FC236}">
              <a16:creationId xmlns:a16="http://schemas.microsoft.com/office/drawing/2014/main" id="{00000000-0008-0000-1000-000007000000}"/>
            </a:ext>
          </a:extLst>
        </xdr:cNvPr>
        <xdr:cNvSpPr/>
      </xdr:nvSpPr>
      <xdr:spPr>
        <a:xfrm>
          <a:off x="9761766" y="304800"/>
          <a:ext cx="1382485" cy="542925"/>
        </a:xfrm>
        <a:prstGeom prst="leftArrow">
          <a:avLst/>
        </a:prstGeom>
        <a:solidFill>
          <a:srgbClr val="007E3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2" name="9 Flecha izquierda">
          <a:hlinkClick xmlns:r="http://schemas.openxmlformats.org/officeDocument/2006/relationships" r:id="rId1"/>
          <a:extLst>
            <a:ext uri="{FF2B5EF4-FFF2-40B4-BE49-F238E27FC236}">
              <a16:creationId xmlns:a16="http://schemas.microsoft.com/office/drawing/2014/main" id="{00000000-0008-0000-1100-000002000000}"/>
            </a:ext>
          </a:extLst>
        </xdr:cNvPr>
        <xdr:cNvSpPr/>
      </xdr:nvSpPr>
      <xdr:spPr>
        <a:xfrm>
          <a:off x="15478126" y="114300"/>
          <a:ext cx="2245178"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2"/>
          <a:extLst>
            <a:ext uri="{FF2B5EF4-FFF2-40B4-BE49-F238E27FC236}">
              <a16:creationId xmlns:a16="http://schemas.microsoft.com/office/drawing/2014/main" id="{00000000-0008-0000-1100-000003000000}"/>
            </a:ext>
          </a:extLst>
        </xdr:cNvPr>
        <xdr:cNvSpPr/>
      </xdr:nvSpPr>
      <xdr:spPr>
        <a:xfrm>
          <a:off x="15478126" y="114300"/>
          <a:ext cx="2245178"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0</xdr:col>
      <xdr:colOff>171450</xdr:colOff>
      <xdr:row>38</xdr:row>
      <xdr:rowOff>7792</xdr:rowOff>
    </xdr:from>
    <xdr:to>
      <xdr:col>5</xdr:col>
      <xdr:colOff>1524000</xdr:colOff>
      <xdr:row>44</xdr:row>
      <xdr:rowOff>34636</xdr:rowOff>
    </xdr:to>
    <xdr:graphicFrame macro="">
      <xdr:nvGraphicFramePr>
        <xdr:cNvPr id="4" name="13 Gráfico">
          <a:extLst>
            <a:ext uri="{FF2B5EF4-FFF2-40B4-BE49-F238E27FC236}">
              <a16:creationId xmlns:a16="http://schemas.microsoft.com/office/drawing/2014/main" id="{00000000-0008-0000-1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171450</xdr:colOff>
      <xdr:row>67</xdr:row>
      <xdr:rowOff>7793</xdr:rowOff>
    </xdr:from>
    <xdr:to>
      <xdr:col>5</xdr:col>
      <xdr:colOff>1749137</xdr:colOff>
      <xdr:row>75</xdr:row>
      <xdr:rowOff>277091</xdr:rowOff>
    </xdr:to>
    <xdr:graphicFrame macro="">
      <xdr:nvGraphicFramePr>
        <xdr:cNvPr id="5" name="15 Gráfico">
          <a:extLst>
            <a:ext uri="{FF2B5EF4-FFF2-40B4-BE49-F238E27FC236}">
              <a16:creationId xmlns:a16="http://schemas.microsoft.com/office/drawing/2014/main" id="{00000000-0008-0000-1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209551</xdr:colOff>
      <xdr:row>0</xdr:row>
      <xdr:rowOff>114300</xdr:rowOff>
    </xdr:from>
    <xdr:to>
      <xdr:col>10</xdr:col>
      <xdr:colOff>530679</xdr:colOff>
      <xdr:row>0</xdr:row>
      <xdr:rowOff>657225</xdr:rowOff>
    </xdr:to>
    <xdr:sp macro="" textlink="">
      <xdr:nvSpPr>
        <xdr:cNvPr id="6" name="9 Flecha izquierda">
          <a:hlinkClick xmlns:r="http://schemas.openxmlformats.org/officeDocument/2006/relationships" r:id="rId1"/>
          <a:extLst>
            <a:ext uri="{FF2B5EF4-FFF2-40B4-BE49-F238E27FC236}">
              <a16:creationId xmlns:a16="http://schemas.microsoft.com/office/drawing/2014/main" id="{00000000-0008-0000-1100-000006000000}"/>
            </a:ext>
          </a:extLst>
        </xdr:cNvPr>
        <xdr:cNvSpPr/>
      </xdr:nvSpPr>
      <xdr:spPr>
        <a:xfrm>
          <a:off x="15478126" y="114300"/>
          <a:ext cx="2245178"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7" name="9 Flecha izquierda">
          <a:hlinkClick xmlns:r="http://schemas.openxmlformats.org/officeDocument/2006/relationships" r:id="rId2"/>
          <a:extLst>
            <a:ext uri="{FF2B5EF4-FFF2-40B4-BE49-F238E27FC236}">
              <a16:creationId xmlns:a16="http://schemas.microsoft.com/office/drawing/2014/main" id="{00000000-0008-0000-1100-000007000000}"/>
            </a:ext>
          </a:extLst>
        </xdr:cNvPr>
        <xdr:cNvSpPr/>
      </xdr:nvSpPr>
      <xdr:spPr>
        <a:xfrm>
          <a:off x="15478126" y="114300"/>
          <a:ext cx="2245178"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0</xdr:col>
      <xdr:colOff>171450</xdr:colOff>
      <xdr:row>38</xdr:row>
      <xdr:rowOff>7791</xdr:rowOff>
    </xdr:from>
    <xdr:to>
      <xdr:col>5</xdr:col>
      <xdr:colOff>1524000</xdr:colOff>
      <xdr:row>54</xdr:row>
      <xdr:rowOff>190499</xdr:rowOff>
    </xdr:to>
    <xdr:graphicFrame macro="">
      <xdr:nvGraphicFramePr>
        <xdr:cNvPr id="8" name="13 Gráfico">
          <a:extLst>
            <a:ext uri="{FF2B5EF4-FFF2-40B4-BE49-F238E27FC236}">
              <a16:creationId xmlns:a16="http://schemas.microsoft.com/office/drawing/2014/main" id="{00000000-0008-0000-11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171450</xdr:colOff>
      <xdr:row>67</xdr:row>
      <xdr:rowOff>7793</xdr:rowOff>
    </xdr:from>
    <xdr:to>
      <xdr:col>5</xdr:col>
      <xdr:colOff>1749137</xdr:colOff>
      <xdr:row>78</xdr:row>
      <xdr:rowOff>86591</xdr:rowOff>
    </xdr:to>
    <xdr:graphicFrame macro="">
      <xdr:nvGraphicFramePr>
        <xdr:cNvPr id="9" name="15 Gráfico">
          <a:extLst>
            <a:ext uri="{FF2B5EF4-FFF2-40B4-BE49-F238E27FC236}">
              <a16:creationId xmlns:a16="http://schemas.microsoft.com/office/drawing/2014/main" id="{00000000-0008-0000-11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1"/>
          <a:extLst>
            <a:ext uri="{FF2B5EF4-FFF2-40B4-BE49-F238E27FC236}">
              <a16:creationId xmlns:a16="http://schemas.microsoft.com/office/drawing/2014/main" id="{00000000-0008-0000-1200-000003000000}"/>
            </a:ext>
          </a:extLst>
        </xdr:cNvPr>
        <xdr:cNvSpPr/>
      </xdr:nvSpPr>
      <xdr:spPr>
        <a:xfrm>
          <a:off x="15478126" y="114300"/>
          <a:ext cx="1778453"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4" name="9 Flecha izquierda">
          <a:hlinkClick xmlns:r="http://schemas.openxmlformats.org/officeDocument/2006/relationships" r:id="rId2"/>
          <a:extLst>
            <a:ext uri="{FF2B5EF4-FFF2-40B4-BE49-F238E27FC236}">
              <a16:creationId xmlns:a16="http://schemas.microsoft.com/office/drawing/2014/main" id="{00000000-0008-0000-1200-000004000000}"/>
            </a:ext>
          </a:extLst>
        </xdr:cNvPr>
        <xdr:cNvSpPr/>
      </xdr:nvSpPr>
      <xdr:spPr>
        <a:xfrm>
          <a:off x="15478126" y="114300"/>
          <a:ext cx="1778453" cy="542925"/>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0</xdr:col>
      <xdr:colOff>171450</xdr:colOff>
      <xdr:row>28</xdr:row>
      <xdr:rowOff>7792</xdr:rowOff>
    </xdr:from>
    <xdr:to>
      <xdr:col>5</xdr:col>
      <xdr:colOff>1524000</xdr:colOff>
      <xdr:row>34</xdr:row>
      <xdr:rowOff>34636</xdr:rowOff>
    </xdr:to>
    <xdr:graphicFrame macro="">
      <xdr:nvGraphicFramePr>
        <xdr:cNvPr id="5" name="13 Gráfico">
          <a:extLst>
            <a:ext uri="{FF2B5EF4-FFF2-40B4-BE49-F238E27FC236}">
              <a16:creationId xmlns:a16="http://schemas.microsoft.com/office/drawing/2014/main" id="{00000000-0008-0000-12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171450</xdr:colOff>
      <xdr:row>52</xdr:row>
      <xdr:rowOff>7793</xdr:rowOff>
    </xdr:from>
    <xdr:to>
      <xdr:col>5</xdr:col>
      <xdr:colOff>1749137</xdr:colOff>
      <xdr:row>60</xdr:row>
      <xdr:rowOff>277091</xdr:rowOff>
    </xdr:to>
    <xdr:graphicFrame macro="">
      <xdr:nvGraphicFramePr>
        <xdr:cNvPr id="6" name="15 Gráfico">
          <a:extLst>
            <a:ext uri="{FF2B5EF4-FFF2-40B4-BE49-F238E27FC236}">
              <a16:creationId xmlns:a16="http://schemas.microsoft.com/office/drawing/2014/main" id="{00000000-0008-0000-12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9</xdr:col>
      <xdr:colOff>209551</xdr:colOff>
      <xdr:row>0</xdr:row>
      <xdr:rowOff>114300</xdr:rowOff>
    </xdr:from>
    <xdr:to>
      <xdr:col>10</xdr:col>
      <xdr:colOff>530679</xdr:colOff>
      <xdr:row>0</xdr:row>
      <xdr:rowOff>657225</xdr:rowOff>
    </xdr:to>
    <xdr:sp macro="" textlink="">
      <xdr:nvSpPr>
        <xdr:cNvPr id="2" name="9 Flecha izquierda">
          <a:hlinkClick xmlns:r="http://schemas.openxmlformats.org/officeDocument/2006/relationships" r:id="rId1"/>
          <a:extLst>
            <a:ext uri="{FF2B5EF4-FFF2-40B4-BE49-F238E27FC236}">
              <a16:creationId xmlns:a16="http://schemas.microsoft.com/office/drawing/2014/main" id="{00000000-0008-0000-1300-000002000000}"/>
            </a:ext>
          </a:extLst>
        </xdr:cNvPr>
        <xdr:cNvSpPr/>
      </xdr:nvSpPr>
      <xdr:spPr>
        <a:xfrm>
          <a:off x="7067551" y="114300"/>
          <a:ext cx="1083128" cy="76200"/>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9</xdr:col>
      <xdr:colOff>209551</xdr:colOff>
      <xdr:row>0</xdr:row>
      <xdr:rowOff>114300</xdr:rowOff>
    </xdr:from>
    <xdr:to>
      <xdr:col>10</xdr:col>
      <xdr:colOff>530679</xdr:colOff>
      <xdr:row>0</xdr:row>
      <xdr:rowOff>657225</xdr:rowOff>
    </xdr:to>
    <xdr:sp macro="" textlink="">
      <xdr:nvSpPr>
        <xdr:cNvPr id="3" name="9 Flecha izquierda">
          <a:hlinkClick xmlns:r="http://schemas.openxmlformats.org/officeDocument/2006/relationships" r:id="rId2"/>
          <a:extLst>
            <a:ext uri="{FF2B5EF4-FFF2-40B4-BE49-F238E27FC236}">
              <a16:creationId xmlns:a16="http://schemas.microsoft.com/office/drawing/2014/main" id="{00000000-0008-0000-1300-000003000000}"/>
            </a:ext>
          </a:extLst>
        </xdr:cNvPr>
        <xdr:cNvSpPr/>
      </xdr:nvSpPr>
      <xdr:spPr>
        <a:xfrm>
          <a:off x="7067551" y="114300"/>
          <a:ext cx="1083128" cy="76200"/>
        </a:xfrm>
        <a:prstGeom prst="leftArrow">
          <a:avLst/>
        </a:prstGeom>
        <a:solidFill>
          <a:schemeClr val="accent3">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twoCellAnchor>
    <xdr:from>
      <xdr:col>0</xdr:col>
      <xdr:colOff>171450</xdr:colOff>
      <xdr:row>44</xdr:row>
      <xdr:rowOff>180972</xdr:rowOff>
    </xdr:from>
    <xdr:to>
      <xdr:col>5</xdr:col>
      <xdr:colOff>1619250</xdr:colOff>
      <xdr:row>54</xdr:row>
      <xdr:rowOff>342899</xdr:rowOff>
    </xdr:to>
    <xdr:graphicFrame macro="">
      <xdr:nvGraphicFramePr>
        <xdr:cNvPr id="4" name="27 Gráfico">
          <a:extLst>
            <a:ext uri="{FF2B5EF4-FFF2-40B4-BE49-F238E27FC236}">
              <a16:creationId xmlns:a16="http://schemas.microsoft.com/office/drawing/2014/main" id="{00000000-0008-0000-1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188767</xdr:colOff>
      <xdr:row>77</xdr:row>
      <xdr:rowOff>-1</xdr:rowOff>
    </xdr:from>
    <xdr:to>
      <xdr:col>5</xdr:col>
      <xdr:colOff>1541318</xdr:colOff>
      <xdr:row>85</xdr:row>
      <xdr:rowOff>606136</xdr:rowOff>
    </xdr:to>
    <xdr:graphicFrame macro="">
      <xdr:nvGraphicFramePr>
        <xdr:cNvPr id="5" name="29 Gráfico">
          <a:extLst>
            <a:ext uri="{FF2B5EF4-FFF2-40B4-BE49-F238E27FC236}">
              <a16:creationId xmlns:a16="http://schemas.microsoft.com/office/drawing/2014/main" id="{00000000-0008-0000-1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240722</xdr:colOff>
      <xdr:row>156</xdr:row>
      <xdr:rowOff>88323</xdr:rowOff>
    </xdr:from>
    <xdr:to>
      <xdr:col>5</xdr:col>
      <xdr:colOff>1523999</xdr:colOff>
      <xdr:row>161</xdr:row>
      <xdr:rowOff>588818</xdr:rowOff>
    </xdr:to>
    <xdr:graphicFrame macro="">
      <xdr:nvGraphicFramePr>
        <xdr:cNvPr id="6" name="31 Gráfico">
          <a:extLst>
            <a:ext uri="{FF2B5EF4-FFF2-40B4-BE49-F238E27FC236}">
              <a16:creationId xmlns:a16="http://schemas.microsoft.com/office/drawing/2014/main" id="{00000000-0008-0000-13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171450</xdr:colOff>
      <xdr:row>174</xdr:row>
      <xdr:rowOff>57150</xdr:rowOff>
    </xdr:from>
    <xdr:to>
      <xdr:col>5</xdr:col>
      <xdr:colOff>1409700</xdr:colOff>
      <xdr:row>176</xdr:row>
      <xdr:rowOff>2724150</xdr:rowOff>
    </xdr:to>
    <xdr:graphicFrame macro="">
      <xdr:nvGraphicFramePr>
        <xdr:cNvPr id="7" name="15 Gráfico">
          <a:extLst>
            <a:ext uri="{FF2B5EF4-FFF2-40B4-BE49-F238E27FC236}">
              <a16:creationId xmlns:a16="http://schemas.microsoft.com/office/drawing/2014/main" id="{00000000-0008-0000-1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242455</xdr:colOff>
      <xdr:row>86</xdr:row>
      <xdr:rowOff>363682</xdr:rowOff>
    </xdr:from>
    <xdr:to>
      <xdr:col>5</xdr:col>
      <xdr:colOff>1595006</xdr:colOff>
      <xdr:row>106</xdr:row>
      <xdr:rowOff>0</xdr:rowOff>
    </xdr:to>
    <xdr:graphicFrame macro="">
      <xdr:nvGraphicFramePr>
        <xdr:cNvPr id="8" name="29 Gráfico">
          <a:extLst>
            <a:ext uri="{FF2B5EF4-FFF2-40B4-BE49-F238E27FC236}">
              <a16:creationId xmlns:a16="http://schemas.microsoft.com/office/drawing/2014/main" id="{00000000-0008-0000-1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0</xdr:colOff>
      <xdr:row>55</xdr:row>
      <xdr:rowOff>76199</xdr:rowOff>
    </xdr:from>
    <xdr:to>
      <xdr:col>5</xdr:col>
      <xdr:colOff>1619250</xdr:colOff>
      <xdr:row>68</xdr:row>
      <xdr:rowOff>26534</xdr:rowOff>
    </xdr:to>
    <xdr:graphicFrame macro="">
      <xdr:nvGraphicFramePr>
        <xdr:cNvPr id="9" name="27 Gráfico">
          <a:extLst>
            <a:ext uri="{FF2B5EF4-FFF2-40B4-BE49-F238E27FC236}">
              <a16:creationId xmlns:a16="http://schemas.microsoft.com/office/drawing/2014/main" id="{00000000-0008-0000-1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7</xdr:col>
      <xdr:colOff>508908</xdr:colOff>
      <xdr:row>1</xdr:row>
      <xdr:rowOff>40822</xdr:rowOff>
    </xdr:from>
    <xdr:to>
      <xdr:col>8</xdr:col>
      <xdr:colOff>476250</xdr:colOff>
      <xdr:row>1</xdr:row>
      <xdr:rowOff>684440</xdr:rowOff>
    </xdr:to>
    <xdr:sp macro="" textlink="">
      <xdr:nvSpPr>
        <xdr:cNvPr id="3" name="9 Flecha izquierda">
          <a:hlinkClick xmlns:r="http://schemas.openxmlformats.org/officeDocument/2006/relationships" r:id="rId1"/>
          <a:extLst>
            <a:ext uri="{FF2B5EF4-FFF2-40B4-BE49-F238E27FC236}">
              <a16:creationId xmlns:a16="http://schemas.microsoft.com/office/drawing/2014/main" id="{00000000-0008-0000-1400-000003000000}"/>
            </a:ext>
          </a:extLst>
        </xdr:cNvPr>
        <xdr:cNvSpPr/>
      </xdr:nvSpPr>
      <xdr:spPr>
        <a:xfrm>
          <a:off x="9557658" y="217715"/>
          <a:ext cx="1382485" cy="643618"/>
        </a:xfrm>
        <a:prstGeom prst="leftArrow">
          <a:avLst/>
        </a:prstGeom>
        <a:solidFill>
          <a:srgbClr val="007E3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xdr:col>
      <xdr:colOff>0</xdr:colOff>
      <xdr:row>0</xdr:row>
      <xdr:rowOff>0</xdr:rowOff>
    </xdr:from>
    <xdr:to>
      <xdr:col>2</xdr:col>
      <xdr:colOff>1400736</xdr:colOff>
      <xdr:row>0</xdr:row>
      <xdr:rowOff>470647</xdr:rowOff>
    </xdr:to>
    <xdr:sp macro="" textlink="">
      <xdr:nvSpPr>
        <xdr:cNvPr id="2" name="1 Flecha izquierda">
          <a:hlinkClick xmlns:r="http://schemas.openxmlformats.org/officeDocument/2006/relationships" r:id="rId1"/>
          <a:extLst>
            <a:ext uri="{FF2B5EF4-FFF2-40B4-BE49-F238E27FC236}">
              <a16:creationId xmlns:a16="http://schemas.microsoft.com/office/drawing/2014/main" id="{00000000-0008-0000-1500-000002000000}"/>
            </a:ext>
          </a:extLst>
        </xdr:cNvPr>
        <xdr:cNvSpPr/>
      </xdr:nvSpPr>
      <xdr:spPr>
        <a:xfrm>
          <a:off x="8527676" y="190500"/>
          <a:ext cx="1400736" cy="470647"/>
        </a:xfrm>
        <a:prstGeom prst="leftArrow">
          <a:avLst/>
        </a:prstGeom>
        <a:solidFill>
          <a:schemeClr val="bg1">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100" b="1">
              <a:solidFill>
                <a:schemeClr val="bg1"/>
              </a:solidFill>
            </a:rPr>
            <a:t>INICIO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agudelo\AppData\Local\Microsoft\Windows\INetCache\Content.Outlook\VFE7BIEM\R-MJ-16%20FICHA%20DE%20INDICADORES%20201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agudelo\AppData\Local\Microsoft\Windows\Temporary%20Internet%20Files\Content.Outlook\M7GYKLWU\R-MJ-16%20IND%20GP%20SM1%202016.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jagudelo\AppData\Local\Microsoft\Windows\Temporary%20Internet%20Files\Content.Outlook\M7GYKLWU\Copia%20de%20R-MJ-16%20FICHA%20DE%20INDICADORES%202016%20(00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jagudelo\AppData\Local\Microsoft\Windows\Temporary%20Internet%20Files\Content.Outlook\M7GYKLWU\R-MJ-16%20FICHA%20DE%20INDICADORES%202017%20GP2018.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jagudelo\AppData\Local\Microsoft\Windows\Temporary%20Internet%20Files\Content.Outlook\M7GYKLWU\R-MJ-16%20FICHA%20DE%20INDICADORES%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Inicio - Matriz Indic"/>
      <sheetName val="Hoja 2. DI"/>
      <sheetName val="Hoja 3. MJ"/>
      <sheetName val="Hoja 4. PG"/>
      <sheetName val="Hoja 5. GP"/>
      <sheetName val="Hoja 6. AA"/>
      <sheetName val="Hoja 7. TH"/>
      <sheetName val="Hoja 8. RI"/>
      <sheetName val="Hoja 9. FC"/>
      <sheetName val="Hoja 10. LABORATORIO DE AGUAS19"/>
      <sheetName val="Hoja 11. TABLA DE CONTROL"/>
    </sheetNames>
    <sheetDataSet>
      <sheetData sheetId="0"/>
      <sheetData sheetId="1"/>
      <sheetData sheetId="2"/>
      <sheetData sheetId="3"/>
      <sheetData sheetId="4"/>
      <sheetData sheetId="5"/>
      <sheetData sheetId="6"/>
      <sheetData sheetId="7"/>
      <sheetData sheetId="8"/>
      <sheetData sheetId="9">
        <row r="27">
          <cell r="G27">
            <v>2013</v>
          </cell>
        </row>
      </sheetData>
      <sheetData sheetId="10">
        <row r="78">
          <cell r="B78" t="str">
            <v>% DEL PLAN DE MANTENIMIENTO PREVENTIVO Y CALIBRACIÓN ELABORADOS E IMPLEMENTADOS.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Inicio - Matriz Indic"/>
      <sheetName val="Hoja 2. DI"/>
      <sheetName val="Hoja 3. MJ"/>
      <sheetName val="Hoja 4. PG"/>
      <sheetName val="Hoja 5. GP"/>
      <sheetName val="Hoja 6. AA"/>
      <sheetName val="Hoja 7. TH"/>
      <sheetName val="Hoja 8. RI"/>
      <sheetName val="Hoja 9. FC"/>
      <sheetName val="Hoja 10. LABORATORIO DE AGUAS"/>
      <sheetName val="Hoja 11. TABLA DE CONTROL"/>
    </sheetNames>
    <sheetDataSet>
      <sheetData sheetId="0" refreshError="1"/>
      <sheetData sheetId="1" refreshError="1"/>
      <sheetData sheetId="2" refreshError="1"/>
      <sheetData sheetId="3" refreshError="1"/>
      <sheetData sheetId="4">
        <row r="30">
          <cell r="G30">
            <v>2012</v>
          </cell>
        </row>
      </sheetData>
      <sheetData sheetId="5" refreshError="1"/>
      <sheetData sheetId="6" refreshError="1"/>
      <sheetData sheetId="7" refreshError="1"/>
      <sheetData sheetId="8" refreshError="1"/>
      <sheetData sheetId="9" refreshError="1"/>
      <sheetData sheetId="10">
        <row r="29">
          <cell r="B29" t="str">
            <v>PORCENTAJE DE PROYECTOS CON SEGUIMIENTO FÍSICO Y FINANCIERO Y CON CUMPLIMIENTO DE LOS REQUISITOS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Inicio - Matriz Indic"/>
      <sheetName val="Hoja 2. DI"/>
      <sheetName val="Hoja 3. MJ"/>
      <sheetName val="Hoja 4. PG"/>
      <sheetName val="Hoja 5. GP"/>
      <sheetName val="Hoja 6. AA"/>
      <sheetName val="Hoja 7. TH"/>
      <sheetName val="Hoja 8. RI"/>
      <sheetName val="Hoja 9. FC"/>
      <sheetName val="Hoja 10. LABORATORIO DE AGUAS"/>
      <sheetName val="Hoja 11. TABLA DE CONTROL"/>
      <sheetName val="Hoja 6. AA2"/>
      <sheetName val="Hoja 7. TH2"/>
      <sheetName val="Hoja 8. RI2 "/>
      <sheetName val="Hoja 8. RI 2015"/>
      <sheetName val="Hoja 9. FC2"/>
      <sheetName val="Hoja 10. LABORATORIO DE AGUA"/>
      <sheetName val="Hoja 10. LABORATORIO DE AGU (2"/>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30">
          <cell r="G30">
            <v>2010</v>
          </cell>
        </row>
      </sheetData>
      <sheetData sheetId="9" refreshError="1"/>
      <sheetData sheetId="10">
        <row r="68">
          <cell r="B68" t="str">
            <v>N° DE CAPACITACIONES Y REINDUCCIONES REALIZADAS EN LA APLICACIÓN DE LOS PROCEDIMIENTOS Y MANEJO DE APLICATIVOS FINANCIEROS Y/O CONTABLES.</v>
          </cell>
        </row>
      </sheetData>
      <sheetData sheetId="11"/>
      <sheetData sheetId="12"/>
      <sheetData sheetId="13"/>
      <sheetData sheetId="14"/>
      <sheetData sheetId="15"/>
      <sheetData sheetId="16"/>
      <sheetData sheetId="17"/>
      <sheetData sheetId="1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Inicio - Matriz Indic"/>
      <sheetName val="Hoja 2. DI 2017"/>
      <sheetName val="Hoja 3. MJ 2017"/>
      <sheetName val="Hoja 4. PG 2017"/>
      <sheetName val="Hoja 5. GP 2017"/>
      <sheetName val="Hoja 6. AA"/>
      <sheetName val="Hoja 6. AA2"/>
      <sheetName val="Hoja 6. AA 2017"/>
      <sheetName val="Hoja 7. TH 2017"/>
      <sheetName val="Hoja 7. TH2"/>
      <sheetName val="Hoja 8. RI 2017"/>
      <sheetName val="Hoja 8. RI2 "/>
      <sheetName val="Hoja 8. RI 2015"/>
      <sheetName val="Hoja 9. FC 2017"/>
      <sheetName val="Hoja 9. FC2"/>
      <sheetName val="Hoja 10. LABORATORIO DE AGUA"/>
      <sheetName val="Hoja 10. LABORATORIO DE AGU 17"/>
      <sheetName val="Hoja 11. TABLA DE CONTROL"/>
      <sheetName val="Hoja1"/>
    </sheetNames>
    <sheetDataSet>
      <sheetData sheetId="0" refreshError="1"/>
      <sheetData sheetId="1" refreshError="1"/>
      <sheetData sheetId="2" refreshError="1"/>
      <sheetData sheetId="3" refreshError="1"/>
      <sheetData sheetId="4">
        <row r="33">
          <cell r="G33">
            <v>2012</v>
          </cell>
        </row>
      </sheetData>
      <sheetData sheetId="5">
        <row r="11">
          <cell r="D11" t="str">
            <v>DESARROLLAR SEGUIMIENTO QUINCENAL  A LOS TRAMITES QUE TIENEN RIESGO DE INCUMPLIMIENTO DE LOS TIEMPOS ESTABLECIDOS PARA DAR RESPUESTA A LOS USUARIOS</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Inicio - Matriz Indic"/>
      <sheetName val="Hoja 2. DI 2018"/>
      <sheetName val="Hoja 3. MJ 2018"/>
      <sheetName val="Hoja3"/>
      <sheetName val="Hoja 4. PG 2018"/>
      <sheetName val="Hoja 5. GP 2018"/>
      <sheetName val="Hoja 6. AA"/>
      <sheetName val="Hoja 6. AA2"/>
      <sheetName val="Hoja 6. AA 2017"/>
      <sheetName val="Hoja 7. TH 2017"/>
      <sheetName val="Hoja 7. TH2"/>
      <sheetName val="Hoja 8. RI 2018"/>
      <sheetName val="Hoja 8. RI2 "/>
      <sheetName val="Hoja 8. RI 2015"/>
      <sheetName val="Hoja 9. FC 2018"/>
      <sheetName val="Hoja 9. FC 2017"/>
      <sheetName val="Hoja 9. FC2"/>
      <sheetName val="Hoja 10. LABORATORIO DE AGUA"/>
      <sheetName val="Hoja 10. LABORATORIO DE AGU 17"/>
      <sheetName val="Hoja 11. TABLA DE CONTROL"/>
      <sheetName val="Hoja1"/>
    </sheetNames>
    <sheetDataSet>
      <sheetData sheetId="0" refreshError="1"/>
      <sheetData sheetId="1" refreshError="1"/>
      <sheetData sheetId="2" refreshError="1"/>
      <sheetData sheetId="3" refreshError="1"/>
      <sheetData sheetId="4" refreshError="1"/>
      <sheetData sheetId="5" refreshError="1"/>
      <sheetData sheetId="6">
        <row r="11">
          <cell r="D11" t="str">
            <v>DESARROLLAR SEGUIMIENTO QUINCENAL  A LOS TRAMITES QUE TIENEN RIESGO DE INCUMPLIMIENTO DE LOS TIEMPOS ESTABLECIDOS PARA DAR RESPUESTA A LOS USUARIOS</v>
          </cell>
        </row>
      </sheetData>
      <sheetData sheetId="7" refreshError="1"/>
      <sheetData sheetId="8" refreshError="1"/>
      <sheetData sheetId="9" refreshError="1"/>
      <sheetData sheetId="10" refreshError="1"/>
      <sheetData sheetId="11" refreshError="1"/>
      <sheetData sheetId="12" refreshError="1"/>
      <sheetData sheetId="13" refreshError="1"/>
      <sheetData sheetId="14">
        <row r="35">
          <cell r="G35">
            <v>2010</v>
          </cell>
        </row>
      </sheetData>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2.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N49"/>
  <sheetViews>
    <sheetView tabSelected="1" zoomScale="90" zoomScaleNormal="90" workbookViewId="0">
      <selection activeCell="K8" sqref="K8"/>
    </sheetView>
  </sheetViews>
  <sheetFormatPr baseColWidth="10" defaultColWidth="11.453125" defaultRowHeight="15.5" x14ac:dyDescent="0.35"/>
  <cols>
    <col min="1" max="1" width="16.36328125" style="599" customWidth="1"/>
    <col min="2" max="7" width="11.453125" style="599"/>
    <col min="8" max="8" width="15.36328125" style="599" customWidth="1"/>
    <col min="9" max="10" width="11.453125" style="599"/>
    <col min="11" max="11" width="42.36328125" style="599" customWidth="1"/>
    <col min="12" max="16384" width="11.453125" style="599"/>
  </cols>
  <sheetData>
    <row r="2" spans="1:10" s="600" customFormat="1" ht="22.5" customHeight="1" x14ac:dyDescent="0.35">
      <c r="D2" s="705" t="s">
        <v>14</v>
      </c>
      <c r="E2" s="705"/>
      <c r="F2" s="705"/>
      <c r="G2" s="705"/>
      <c r="H2" s="705"/>
      <c r="I2" s="705"/>
      <c r="J2" s="705"/>
    </row>
    <row r="3" spans="1:10" s="600" customFormat="1" ht="23" x14ac:dyDescent="0.35">
      <c r="B3"/>
      <c r="D3" s="705" t="s">
        <v>16</v>
      </c>
      <c r="E3" s="705"/>
      <c r="F3" s="705"/>
      <c r="G3" s="705"/>
      <c r="H3" s="705"/>
      <c r="I3" s="705"/>
      <c r="J3" s="705"/>
    </row>
    <row r="4" spans="1:10" s="600" customFormat="1" ht="23" x14ac:dyDescent="0.35">
      <c r="D4" s="706" t="s">
        <v>1223</v>
      </c>
      <c r="E4" s="706"/>
      <c r="F4" s="706"/>
      <c r="G4" s="706"/>
      <c r="H4" s="706"/>
      <c r="I4" s="706"/>
      <c r="J4" s="706"/>
    </row>
    <row r="5" spans="1:10" s="600" customFormat="1" ht="21.75" customHeight="1" x14ac:dyDescent="0.35">
      <c r="H5" s="599"/>
    </row>
    <row r="6" spans="1:10" s="600" customFormat="1" ht="21.75" customHeight="1" x14ac:dyDescent="0.35">
      <c r="A6" s="722"/>
      <c r="B6" s="722"/>
      <c r="C6" s="722"/>
      <c r="D6" s="722"/>
      <c r="E6" s="722"/>
      <c r="F6" s="722"/>
      <c r="G6" s="722"/>
      <c r="H6" s="722"/>
      <c r="I6" s="722"/>
      <c r="J6" s="722"/>
    </row>
    <row r="7" spans="1:10" s="600" customFormat="1" ht="21.75" customHeight="1" thickBot="1" x14ac:dyDescent="0.4">
      <c r="E7" s="601"/>
      <c r="F7" s="601"/>
      <c r="G7" s="601"/>
      <c r="H7" s="599"/>
    </row>
    <row r="8" spans="1:10" s="600" customFormat="1" ht="21.75" customHeight="1" thickBot="1" x14ac:dyDescent="0.4">
      <c r="E8" s="709" t="s">
        <v>11</v>
      </c>
      <c r="F8" s="710"/>
      <c r="G8" s="711"/>
      <c r="H8" s="599"/>
    </row>
    <row r="9" spans="1:10" s="600" customFormat="1" ht="21.75" customHeight="1" thickBot="1" x14ac:dyDescent="0.45">
      <c r="A9" s="721" t="s">
        <v>28</v>
      </c>
      <c r="B9" s="721"/>
      <c r="C9" s="602"/>
      <c r="E9" s="712" t="s">
        <v>17</v>
      </c>
      <c r="F9" s="713"/>
      <c r="G9" s="714"/>
      <c r="H9" s="599"/>
    </row>
    <row r="10" spans="1:10" ht="21.75" customHeight="1" thickBot="1" x14ac:dyDescent="0.55000000000000004">
      <c r="D10" s="603"/>
      <c r="E10" s="715" t="s">
        <v>12</v>
      </c>
      <c r="F10" s="716"/>
      <c r="G10" s="717"/>
      <c r="I10" s="603"/>
      <c r="J10" s="603"/>
    </row>
    <row r="11" spans="1:10" ht="21.75" customHeight="1" thickBot="1" x14ac:dyDescent="0.55000000000000004">
      <c r="B11" s="603"/>
      <c r="C11" s="603"/>
      <c r="D11" s="603"/>
      <c r="E11" s="718" t="s">
        <v>13</v>
      </c>
      <c r="F11" s="719"/>
      <c r="G11" s="720"/>
      <c r="I11" s="603"/>
      <c r="J11" s="603"/>
    </row>
    <row r="12" spans="1:10" ht="20.25" customHeight="1" x14ac:dyDescent="0.5">
      <c r="J12" s="603"/>
    </row>
    <row r="13" spans="1:10" ht="20.25" customHeight="1" x14ac:dyDescent="0.5">
      <c r="A13" s="708" t="s">
        <v>15</v>
      </c>
      <c r="B13" s="708"/>
      <c r="C13" s="708"/>
      <c r="D13" s="708"/>
      <c r="E13" s="708"/>
      <c r="F13" s="708"/>
      <c r="G13" s="708"/>
      <c r="H13" s="708"/>
      <c r="I13" s="708"/>
      <c r="J13" s="603"/>
    </row>
    <row r="14" spans="1:10" ht="15" customHeight="1" x14ac:dyDescent="0.5">
      <c r="A14" s="603"/>
      <c r="B14" s="603"/>
      <c r="C14" s="603"/>
      <c r="D14" s="603"/>
      <c r="E14" s="603"/>
      <c r="F14" s="603"/>
      <c r="G14" s="603"/>
      <c r="H14" s="603"/>
      <c r="I14" s="603"/>
      <c r="J14" s="603"/>
    </row>
    <row r="15" spans="1:10" x14ac:dyDescent="0.35">
      <c r="A15" s="604"/>
      <c r="B15" s="604"/>
      <c r="C15" s="604"/>
      <c r="D15" s="604"/>
      <c r="E15" s="604"/>
      <c r="F15" s="604"/>
      <c r="G15" s="604"/>
      <c r="H15" s="604"/>
      <c r="I15" s="604"/>
      <c r="J15" s="604"/>
    </row>
    <row r="16" spans="1:10" ht="23" x14ac:dyDescent="0.5">
      <c r="A16" s="605"/>
      <c r="B16" s="605"/>
      <c r="C16" s="605"/>
      <c r="D16" s="605"/>
      <c r="E16" s="605"/>
      <c r="F16" s="605"/>
      <c r="G16" s="605"/>
      <c r="H16" s="605"/>
      <c r="I16" s="605"/>
      <c r="J16" s="605"/>
    </row>
    <row r="17" spans="1:14" x14ac:dyDescent="0.35">
      <c r="A17" s="604"/>
      <c r="B17" s="604"/>
      <c r="C17" s="604"/>
      <c r="D17" s="604"/>
      <c r="E17" s="604"/>
      <c r="F17" s="604"/>
      <c r="G17" s="604"/>
      <c r="H17" s="604"/>
      <c r="I17" s="604"/>
      <c r="J17" s="604"/>
    </row>
    <row r="18" spans="1:14" x14ac:dyDescent="0.35">
      <c r="A18" s="604"/>
      <c r="B18" s="604"/>
      <c r="C18" s="604"/>
      <c r="D18" s="604"/>
      <c r="E18" s="604"/>
      <c r="F18" s="604"/>
      <c r="G18" s="604"/>
      <c r="H18" s="604"/>
      <c r="I18" s="604"/>
      <c r="J18" s="604"/>
    </row>
    <row r="19" spans="1:14" x14ac:dyDescent="0.35">
      <c r="A19" s="604"/>
      <c r="B19" s="604"/>
      <c r="C19" s="604"/>
      <c r="D19" s="604"/>
      <c r="E19" s="604"/>
      <c r="F19" s="604"/>
      <c r="G19" s="604"/>
      <c r="H19" s="604"/>
      <c r="I19" s="604"/>
      <c r="J19" s="604"/>
    </row>
    <row r="20" spans="1:14" x14ac:dyDescent="0.35">
      <c r="A20" s="604"/>
      <c r="B20" s="606"/>
      <c r="C20" s="606"/>
      <c r="D20" s="604"/>
      <c r="E20" s="604"/>
      <c r="F20" s="604"/>
      <c r="G20" s="604"/>
      <c r="H20" s="604"/>
      <c r="I20" s="604"/>
      <c r="J20" s="604"/>
    </row>
    <row r="21" spans="1:14" x14ac:dyDescent="0.35">
      <c r="A21" s="604"/>
      <c r="B21" s="604"/>
      <c r="C21" s="604"/>
      <c r="D21" s="604"/>
      <c r="E21" s="604"/>
      <c r="F21" s="604"/>
      <c r="G21" s="604"/>
      <c r="H21" s="604"/>
      <c r="I21" s="604"/>
      <c r="J21" s="604"/>
    </row>
    <row r="22" spans="1:14" x14ac:dyDescent="0.35">
      <c r="A22" s="604"/>
      <c r="B22" s="604"/>
      <c r="C22" s="604"/>
      <c r="D22" s="604"/>
      <c r="E22" s="604"/>
      <c r="F22" s="604"/>
      <c r="G22" s="604"/>
      <c r="H22" s="604"/>
      <c r="I22" s="604"/>
      <c r="J22" s="604"/>
      <c r="K22" s="598"/>
      <c r="L22" s="598"/>
      <c r="M22" s="598"/>
      <c r="N22" s="598"/>
    </row>
    <row r="23" spans="1:14" ht="15" customHeight="1" x14ac:dyDescent="0.35">
      <c r="A23" s="604"/>
      <c r="B23" s="604"/>
      <c r="C23" s="604"/>
      <c r="D23" s="604"/>
      <c r="E23" s="604"/>
      <c r="F23" s="604"/>
      <c r="G23" s="604"/>
      <c r="H23" s="604"/>
      <c r="I23" s="604"/>
      <c r="J23" s="604"/>
      <c r="K23" s="598"/>
      <c r="L23" s="598"/>
      <c r="M23" s="598"/>
      <c r="N23" s="598"/>
    </row>
    <row r="24" spans="1:14" x14ac:dyDescent="0.35">
      <c r="A24" s="604"/>
      <c r="B24" s="604"/>
      <c r="C24" s="604"/>
      <c r="D24" s="604"/>
      <c r="E24" s="604"/>
      <c r="F24" s="604"/>
      <c r="G24" s="604"/>
      <c r="H24" s="604"/>
      <c r="I24" s="604"/>
      <c r="J24" s="604"/>
      <c r="K24" s="598"/>
      <c r="L24" s="598"/>
      <c r="M24" s="598"/>
      <c r="N24" s="598"/>
    </row>
    <row r="25" spans="1:14" x14ac:dyDescent="0.35">
      <c r="A25" s="604"/>
      <c r="B25" s="604"/>
      <c r="C25" s="604"/>
      <c r="D25" s="604"/>
      <c r="E25" s="604"/>
      <c r="F25" s="604"/>
      <c r="G25" s="604"/>
      <c r="H25" s="604"/>
      <c r="I25" s="604"/>
      <c r="J25" s="604"/>
      <c r="L25" s="598"/>
      <c r="M25" s="598"/>
      <c r="N25" s="598"/>
    </row>
    <row r="26" spans="1:14" x14ac:dyDescent="0.35">
      <c r="A26" s="604"/>
      <c r="B26" s="604"/>
      <c r="C26" s="604"/>
      <c r="D26" s="604"/>
      <c r="E26" s="604"/>
      <c r="F26" s="604"/>
      <c r="G26" s="604"/>
      <c r="H26" s="604"/>
      <c r="I26" s="604"/>
      <c r="J26" s="604"/>
      <c r="L26" s="598"/>
      <c r="M26" s="598"/>
      <c r="N26" s="598"/>
    </row>
    <row r="27" spans="1:14" x14ac:dyDescent="0.35">
      <c r="A27" s="604"/>
      <c r="B27" s="604"/>
      <c r="C27" s="604"/>
      <c r="D27" s="604"/>
      <c r="E27" s="604"/>
      <c r="F27" s="604"/>
      <c r="G27" s="604"/>
      <c r="H27" s="604"/>
      <c r="I27" s="604"/>
      <c r="J27" s="604"/>
      <c r="L27" s="598"/>
      <c r="M27" s="598"/>
      <c r="N27" s="598"/>
    </row>
    <row r="28" spans="1:14" ht="15" customHeight="1" x14ac:dyDescent="0.35">
      <c r="A28" s="604"/>
      <c r="B28" s="604"/>
      <c r="C28" s="604"/>
      <c r="D28" s="604"/>
      <c r="E28" s="604"/>
      <c r="F28" s="604"/>
      <c r="G28" s="604"/>
      <c r="H28" s="604"/>
      <c r="I28" s="604"/>
      <c r="J28" s="604"/>
      <c r="L28" s="598"/>
      <c r="M28" s="598"/>
      <c r="N28" s="598"/>
    </row>
    <row r="29" spans="1:14" x14ac:dyDescent="0.35">
      <c r="A29" s="604"/>
      <c r="B29" s="604"/>
      <c r="C29" s="604"/>
      <c r="D29" s="604"/>
      <c r="E29" s="604"/>
      <c r="F29" s="604"/>
      <c r="G29" s="604"/>
      <c r="H29" s="604"/>
      <c r="I29" s="604"/>
      <c r="J29" s="604"/>
      <c r="L29" s="598"/>
      <c r="M29" s="598"/>
      <c r="N29" s="598"/>
    </row>
    <row r="30" spans="1:14" x14ac:dyDescent="0.35">
      <c r="A30" s="604"/>
      <c r="B30" s="604"/>
      <c r="C30" s="604"/>
      <c r="D30" s="604"/>
      <c r="E30" s="604"/>
      <c r="F30" s="604"/>
      <c r="G30" s="604"/>
      <c r="H30" s="604"/>
      <c r="I30" s="604"/>
      <c r="J30" s="604"/>
      <c r="L30" s="598"/>
      <c r="M30" s="598"/>
      <c r="N30" s="598"/>
    </row>
    <row r="31" spans="1:14" x14ac:dyDescent="0.35">
      <c r="A31" s="604"/>
      <c r="B31" s="604"/>
      <c r="C31" s="604"/>
      <c r="D31" s="604"/>
      <c r="E31" s="604"/>
      <c r="F31" s="604"/>
      <c r="G31" s="604"/>
      <c r="H31" s="604"/>
      <c r="I31" s="604"/>
      <c r="J31" s="604"/>
      <c r="K31" s="1"/>
      <c r="L31" s="598"/>
      <c r="M31" s="598"/>
      <c r="N31" s="598"/>
    </row>
    <row r="32" spans="1:14" x14ac:dyDescent="0.35">
      <c r="A32" s="604"/>
      <c r="B32" s="604"/>
      <c r="C32" s="604"/>
      <c r="D32" s="604"/>
      <c r="E32" s="604"/>
      <c r="F32" s="604"/>
      <c r="G32" s="604"/>
      <c r="H32" s="604"/>
      <c r="I32" s="604"/>
      <c r="J32" s="604"/>
      <c r="K32" s="598"/>
      <c r="L32" s="598"/>
      <c r="M32" s="598"/>
      <c r="N32" s="598"/>
    </row>
    <row r="33" spans="1:14" x14ac:dyDescent="0.35">
      <c r="A33" s="604"/>
      <c r="B33" s="604"/>
      <c r="C33" s="604"/>
      <c r="D33" s="604"/>
      <c r="E33" s="604"/>
      <c r="F33" s="604"/>
      <c r="G33" s="604"/>
      <c r="H33" s="604"/>
      <c r="I33" s="604"/>
      <c r="J33" s="604"/>
      <c r="K33" s="598"/>
      <c r="L33" s="598"/>
      <c r="M33" s="598"/>
      <c r="N33" s="598"/>
    </row>
    <row r="34" spans="1:14" x14ac:dyDescent="0.35">
      <c r="A34" s="604"/>
      <c r="B34" s="604"/>
      <c r="C34" s="604"/>
      <c r="D34" s="604"/>
      <c r="E34" s="604"/>
      <c r="F34" s="604"/>
      <c r="G34" s="604"/>
      <c r="H34" s="604"/>
      <c r="I34" s="604"/>
      <c r="J34" s="604"/>
      <c r="K34" s="598"/>
      <c r="L34" s="598"/>
      <c r="M34" s="598"/>
      <c r="N34" s="598"/>
    </row>
    <row r="35" spans="1:14" x14ac:dyDescent="0.35">
      <c r="A35" s="604"/>
      <c r="B35" s="604"/>
      <c r="C35" s="604"/>
      <c r="D35" s="604"/>
      <c r="E35" s="604"/>
      <c r="F35" s="604"/>
      <c r="G35" s="604"/>
      <c r="H35" s="604"/>
      <c r="I35" s="604"/>
      <c r="J35" s="604"/>
      <c r="K35" s="598"/>
      <c r="L35" s="598"/>
      <c r="M35" s="598"/>
      <c r="N35" s="598"/>
    </row>
    <row r="36" spans="1:14" x14ac:dyDescent="0.35">
      <c r="A36" s="604"/>
      <c r="B36" s="604"/>
      <c r="C36" s="604"/>
      <c r="D36" s="604"/>
      <c r="E36" s="604"/>
      <c r="F36" s="604"/>
      <c r="G36" s="604"/>
      <c r="H36" s="604"/>
      <c r="I36" s="604"/>
      <c r="J36" s="604"/>
      <c r="K36" s="598"/>
      <c r="L36" s="598"/>
      <c r="M36" s="598"/>
      <c r="N36" s="598"/>
    </row>
    <row r="37" spans="1:14" x14ac:dyDescent="0.35">
      <c r="A37" s="604"/>
      <c r="B37" s="604"/>
      <c r="C37" s="604"/>
      <c r="D37" s="604"/>
      <c r="E37" s="604"/>
      <c r="F37" s="604"/>
      <c r="G37" s="604"/>
      <c r="H37" s="604"/>
      <c r="I37" s="604"/>
      <c r="J37" s="604"/>
      <c r="K37" s="598"/>
      <c r="L37" s="598"/>
      <c r="M37" s="598"/>
      <c r="N37" s="598"/>
    </row>
    <row r="38" spans="1:14" x14ac:dyDescent="0.35">
      <c r="A38" s="604"/>
      <c r="B38" s="604"/>
      <c r="C38" s="604"/>
      <c r="D38" s="604"/>
      <c r="E38" s="604"/>
      <c r="F38" s="604"/>
      <c r="G38" s="604"/>
      <c r="H38" s="604"/>
      <c r="I38" s="604"/>
      <c r="J38" s="604"/>
      <c r="K38" s="598"/>
      <c r="L38" s="598"/>
      <c r="M38" s="598"/>
      <c r="N38" s="598"/>
    </row>
    <row r="39" spans="1:14" x14ac:dyDescent="0.35">
      <c r="A39" s="604"/>
      <c r="B39" s="604"/>
      <c r="C39" s="604"/>
      <c r="D39" s="604"/>
      <c r="E39" s="604"/>
      <c r="F39" s="604"/>
      <c r="G39" s="604"/>
      <c r="H39" s="604"/>
      <c r="I39" s="604"/>
      <c r="J39" s="604"/>
      <c r="K39" s="598"/>
      <c r="L39" s="598"/>
      <c r="M39" s="598"/>
      <c r="N39" s="598"/>
    </row>
    <row r="40" spans="1:14" x14ac:dyDescent="0.35">
      <c r="A40" s="604"/>
      <c r="B40" s="604"/>
      <c r="C40" s="604"/>
      <c r="D40" s="604"/>
      <c r="E40" s="604"/>
      <c r="F40" s="604"/>
      <c r="G40" s="604"/>
      <c r="H40" s="604"/>
      <c r="I40" s="604"/>
      <c r="J40" s="604"/>
      <c r="K40" s="598"/>
      <c r="L40" s="598"/>
      <c r="M40" s="598"/>
      <c r="N40" s="598"/>
    </row>
    <row r="41" spans="1:14" x14ac:dyDescent="0.35">
      <c r="A41" s="604"/>
      <c r="B41" s="604"/>
      <c r="C41" s="604"/>
      <c r="D41" s="604"/>
      <c r="E41" s="604"/>
      <c r="F41" s="604"/>
      <c r="G41" s="604"/>
      <c r="H41" s="604"/>
      <c r="I41" s="604"/>
      <c r="J41" s="604"/>
      <c r="K41" s="598"/>
      <c r="L41" s="598"/>
      <c r="M41" s="598"/>
      <c r="N41" s="598"/>
    </row>
    <row r="42" spans="1:14" x14ac:dyDescent="0.35">
      <c r="A42" s="604"/>
      <c r="B42" s="604"/>
      <c r="C42" s="604"/>
      <c r="D42" s="604"/>
      <c r="E42" s="604"/>
      <c r="F42" s="604"/>
      <c r="G42" s="604"/>
      <c r="H42" s="604"/>
      <c r="I42" s="604"/>
      <c r="J42" s="604"/>
      <c r="K42" s="598"/>
      <c r="L42" s="598"/>
      <c r="M42" s="598"/>
      <c r="N42" s="598"/>
    </row>
    <row r="43" spans="1:14" x14ac:dyDescent="0.35">
      <c r="A43" s="604"/>
      <c r="B43" s="604"/>
      <c r="C43" s="604"/>
      <c r="D43" s="604"/>
      <c r="E43" s="604"/>
      <c r="F43" s="604"/>
      <c r="G43" s="604"/>
      <c r="H43" s="604"/>
      <c r="I43" s="604"/>
      <c r="J43" s="604"/>
      <c r="K43" s="598"/>
      <c r="L43" s="598"/>
      <c r="M43" s="598"/>
      <c r="N43" s="598"/>
    </row>
    <row r="44" spans="1:14" x14ac:dyDescent="0.35">
      <c r="A44" s="604"/>
      <c r="B44" s="604"/>
      <c r="C44" s="604"/>
      <c r="D44" s="604"/>
      <c r="E44" s="604"/>
      <c r="F44" s="604"/>
      <c r="G44" s="604"/>
      <c r="H44" s="604"/>
      <c r="I44" s="604"/>
      <c r="J44" s="604"/>
      <c r="K44" s="598"/>
      <c r="L44" s="598"/>
      <c r="M44" s="598"/>
      <c r="N44" s="598"/>
    </row>
    <row r="45" spans="1:14" x14ac:dyDescent="0.35">
      <c r="A45" s="604"/>
      <c r="B45" s="604"/>
      <c r="C45" s="604"/>
      <c r="D45" s="604"/>
      <c r="E45" s="604"/>
      <c r="F45" s="604"/>
      <c r="G45" s="604"/>
      <c r="H45" s="604"/>
      <c r="I45" s="604"/>
      <c r="J45" s="604"/>
      <c r="K45" s="598"/>
      <c r="L45" s="598"/>
      <c r="M45" s="598"/>
      <c r="N45" s="598"/>
    </row>
    <row r="46" spans="1:14" ht="15" customHeight="1" x14ac:dyDescent="0.35">
      <c r="K46" s="598"/>
      <c r="L46" s="598"/>
      <c r="M46" s="598"/>
      <c r="N46" s="598"/>
    </row>
    <row r="47" spans="1:14" ht="15" customHeight="1" x14ac:dyDescent="0.35">
      <c r="D47" s="707" t="s">
        <v>29</v>
      </c>
      <c r="E47" s="707"/>
      <c r="F47" s="707"/>
      <c r="K47" s="598"/>
      <c r="L47" s="598"/>
      <c r="M47" s="598"/>
      <c r="N47" s="598"/>
    </row>
    <row r="48" spans="1:14" ht="15" customHeight="1" x14ac:dyDescent="0.35">
      <c r="D48" s="707"/>
      <c r="E48" s="707"/>
      <c r="F48" s="707"/>
    </row>
    <row r="49" ht="15" customHeight="1" x14ac:dyDescent="0.35"/>
  </sheetData>
  <mergeCells count="11">
    <mergeCell ref="D2:J2"/>
    <mergeCell ref="D3:J3"/>
    <mergeCell ref="D4:J4"/>
    <mergeCell ref="D47:F48"/>
    <mergeCell ref="A13:I13"/>
    <mergeCell ref="E8:G8"/>
    <mergeCell ref="E9:G9"/>
    <mergeCell ref="E10:G10"/>
    <mergeCell ref="E11:G11"/>
    <mergeCell ref="A9:B9"/>
    <mergeCell ref="A6:J6"/>
  </mergeCells>
  <hyperlinks>
    <hyperlink ref="D47:F48" location="'Hoja 11. TABLA DE CONTROL'!A1" display="Tabla de Control" xr:uid="{00000000-0004-0000-0000-000000000000}"/>
  </hyperlinks>
  <pageMargins left="0.70866141732283472" right="0.70866141732283472" top="0.74803149606299213" bottom="0.74803149606299213" header="0.31496062992125984" footer="0.31496062992125984"/>
  <pageSetup paperSize="119" scale="70" orientation="portrait" r:id="rId1"/>
  <headerFooter differentFirst="1">
    <oddFooter>&amp;CR-MJ-16: FICHA DE INDICADORES
Versión 07
Hoja 1. Inicio - Matriz de Indicadores
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2:P33"/>
  <sheetViews>
    <sheetView showGridLines="0" zoomScale="30" zoomScaleNormal="30" workbookViewId="0">
      <selection activeCell="G13" sqref="G13:I15"/>
    </sheetView>
  </sheetViews>
  <sheetFormatPr baseColWidth="10" defaultColWidth="11.453125" defaultRowHeight="14" x14ac:dyDescent="0.3"/>
  <cols>
    <col min="1" max="1" width="12.453125" style="2" customWidth="1"/>
    <col min="2" max="2" width="12" style="2" customWidth="1"/>
    <col min="3" max="3" width="18.90625" style="2" customWidth="1"/>
    <col min="4" max="4" width="24.6328125" style="2" customWidth="1"/>
    <col min="5" max="5" width="29" style="2" customWidth="1"/>
    <col min="6" max="6" width="24.54296875" style="2" customWidth="1"/>
    <col min="7" max="7" width="14.6328125" style="2" customWidth="1"/>
    <col min="8" max="8" width="20.54296875" style="2" customWidth="1"/>
    <col min="9" max="9" width="15.6328125" style="2" customWidth="1"/>
    <col min="10" max="10" width="16" style="2" customWidth="1"/>
    <col min="11" max="11" width="14.90625" style="2" customWidth="1"/>
    <col min="12" max="12" width="17.54296875" style="2" customWidth="1"/>
    <col min="13" max="13" width="42.08984375" style="2" customWidth="1"/>
    <col min="14" max="14" width="21.08984375" style="2" customWidth="1"/>
    <col min="15" max="15" width="21.6328125" style="2" customWidth="1"/>
    <col min="16" max="16" width="27" style="594" customWidth="1"/>
    <col min="17" max="20" width="32.08984375" style="2" customWidth="1"/>
    <col min="21" max="21" width="79" style="2" customWidth="1"/>
    <col min="22" max="16384" width="11.453125" style="2"/>
  </cols>
  <sheetData>
    <row r="2" spans="1:16" ht="48.75" customHeight="1" x14ac:dyDescent="0.3">
      <c r="A2" s="744"/>
      <c r="B2" s="744"/>
      <c r="C2" s="744"/>
      <c r="D2" s="744"/>
      <c r="E2" s="744"/>
      <c r="F2" s="744"/>
      <c r="G2" s="9"/>
      <c r="H2" s="9"/>
      <c r="I2" s="9"/>
      <c r="J2" s="9"/>
      <c r="K2" s="9"/>
      <c r="L2" s="9"/>
      <c r="M2" s="9"/>
      <c r="N2" s="9"/>
      <c r="O2" s="9"/>
    </row>
    <row r="3" spans="1:16" ht="17.5" x14ac:dyDescent="0.25">
      <c r="A3" s="750" t="s">
        <v>18</v>
      </c>
      <c r="B3" s="751"/>
      <c r="C3" s="751"/>
      <c r="D3" s="751"/>
      <c r="E3" s="751"/>
      <c r="F3" s="751"/>
      <c r="G3" s="751"/>
      <c r="H3" s="751"/>
      <c r="I3" s="751"/>
      <c r="J3" s="751"/>
      <c r="K3" s="751"/>
      <c r="L3" s="751"/>
      <c r="M3" s="751"/>
      <c r="N3" s="751"/>
      <c r="O3" s="751"/>
      <c r="P3" s="751"/>
    </row>
    <row r="5" spans="1:16" s="4" customFormat="1" ht="15.5" x14ac:dyDescent="0.35">
      <c r="A5" s="747" t="s">
        <v>0</v>
      </c>
      <c r="B5" s="747"/>
      <c r="C5" s="747" t="s">
        <v>26</v>
      </c>
      <c r="D5" s="747" t="s">
        <v>1</v>
      </c>
      <c r="E5" s="747" t="s">
        <v>2</v>
      </c>
      <c r="F5" s="747" t="s">
        <v>3</v>
      </c>
      <c r="G5" s="747" t="s">
        <v>1185</v>
      </c>
      <c r="H5" s="747"/>
      <c r="I5" s="747"/>
      <c r="J5" s="745" t="s">
        <v>4</v>
      </c>
      <c r="K5" s="745" t="s">
        <v>5</v>
      </c>
      <c r="L5" s="748" t="s">
        <v>1186</v>
      </c>
      <c r="M5" s="749"/>
      <c r="N5" s="745" t="s">
        <v>6</v>
      </c>
      <c r="O5" s="745" t="s">
        <v>7</v>
      </c>
      <c r="P5" s="754" t="s">
        <v>1222</v>
      </c>
    </row>
    <row r="6" spans="1:16" s="4" customFormat="1" ht="59.25" customHeight="1" x14ac:dyDescent="0.35">
      <c r="A6" s="747"/>
      <c r="B6" s="747"/>
      <c r="C6" s="747"/>
      <c r="D6" s="747"/>
      <c r="E6" s="747"/>
      <c r="F6" s="747"/>
      <c r="G6" s="607" t="s">
        <v>31</v>
      </c>
      <c r="H6" s="607" t="s">
        <v>32</v>
      </c>
      <c r="I6" s="607" t="s">
        <v>43</v>
      </c>
      <c r="J6" s="746"/>
      <c r="K6" s="746"/>
      <c r="L6" s="607" t="s">
        <v>47</v>
      </c>
      <c r="M6" s="607" t="s">
        <v>48</v>
      </c>
      <c r="N6" s="746"/>
      <c r="O6" s="746"/>
      <c r="P6" s="755"/>
    </row>
    <row r="7" spans="1:16" s="4" customFormat="1" ht="64.5" customHeight="1" x14ac:dyDescent="0.35">
      <c r="A7" s="747"/>
      <c r="B7" s="747"/>
      <c r="C7" s="747"/>
      <c r="D7" s="747"/>
      <c r="E7" s="747"/>
      <c r="F7" s="747"/>
      <c r="G7" s="609" t="s">
        <v>35</v>
      </c>
      <c r="H7" s="608" t="s">
        <v>37</v>
      </c>
      <c r="I7" s="609" t="s">
        <v>40</v>
      </c>
      <c r="J7" s="746"/>
      <c r="K7" s="746"/>
      <c r="L7" s="572" t="s">
        <v>44</v>
      </c>
      <c r="M7" s="608" t="s">
        <v>52</v>
      </c>
      <c r="N7" s="746"/>
      <c r="O7" s="746"/>
      <c r="P7" s="755"/>
    </row>
    <row r="8" spans="1:16" s="4" customFormat="1" ht="67.5" customHeight="1" x14ac:dyDescent="0.35">
      <c r="A8" s="747"/>
      <c r="B8" s="747"/>
      <c r="C8" s="747"/>
      <c r="D8" s="747"/>
      <c r="E8" s="747"/>
      <c r="F8" s="747"/>
      <c r="G8" s="609" t="s">
        <v>34</v>
      </c>
      <c r="H8" s="608" t="s">
        <v>38</v>
      </c>
      <c r="I8" s="609" t="s">
        <v>41</v>
      </c>
      <c r="J8" s="746"/>
      <c r="K8" s="746"/>
      <c r="L8" s="573" t="s">
        <v>45</v>
      </c>
      <c r="M8" s="608" t="s">
        <v>50</v>
      </c>
      <c r="N8" s="746"/>
      <c r="O8" s="746"/>
      <c r="P8" s="755"/>
    </row>
    <row r="9" spans="1:16" s="4" customFormat="1" ht="70.5" customHeight="1" x14ac:dyDescent="0.35">
      <c r="A9" s="747"/>
      <c r="B9" s="747"/>
      <c r="C9" s="745"/>
      <c r="D9" s="745"/>
      <c r="E9" s="745"/>
      <c r="F9" s="745"/>
      <c r="G9" s="609" t="s">
        <v>36</v>
      </c>
      <c r="H9" s="608" t="s">
        <v>39</v>
      </c>
      <c r="I9" s="609" t="s">
        <v>42</v>
      </c>
      <c r="J9" s="746"/>
      <c r="K9" s="746"/>
      <c r="L9" s="574" t="s">
        <v>46</v>
      </c>
      <c r="M9" s="608" t="s">
        <v>51</v>
      </c>
      <c r="N9" s="746"/>
      <c r="O9" s="746"/>
      <c r="P9" s="756"/>
    </row>
    <row r="10" spans="1:16" ht="74" customHeight="1" x14ac:dyDescent="0.25">
      <c r="A10" s="699"/>
      <c r="B10" s="700"/>
      <c r="C10" s="725"/>
      <c r="D10" s="725"/>
      <c r="E10" s="725"/>
      <c r="F10" s="725"/>
      <c r="G10" s="728"/>
      <c r="H10" s="729"/>
      <c r="I10" s="730"/>
      <c r="J10" s="696"/>
      <c r="K10" s="741"/>
      <c r="L10" s="575" t="s">
        <v>44</v>
      </c>
      <c r="M10" s="576"/>
      <c r="N10" s="723"/>
      <c r="O10" s="737"/>
      <c r="P10" s="752"/>
    </row>
    <row r="11" spans="1:16" ht="74" customHeight="1" x14ac:dyDescent="0.25">
      <c r="A11" s="701"/>
      <c r="B11" s="702"/>
      <c r="C11" s="726"/>
      <c r="D11" s="726"/>
      <c r="E11" s="726"/>
      <c r="F11" s="726"/>
      <c r="G11" s="731"/>
      <c r="H11" s="732"/>
      <c r="I11" s="733"/>
      <c r="J11" s="697"/>
      <c r="K11" s="742"/>
      <c r="L11" s="575" t="s">
        <v>45</v>
      </c>
      <c r="M11" s="577"/>
      <c r="N11" s="723"/>
      <c r="O11" s="737"/>
      <c r="P11" s="753"/>
    </row>
    <row r="12" spans="1:16" ht="74" customHeight="1" x14ac:dyDescent="0.25">
      <c r="A12" s="701"/>
      <c r="B12" s="702"/>
      <c r="C12" s="727"/>
      <c r="D12" s="727"/>
      <c r="E12" s="727"/>
      <c r="F12" s="727"/>
      <c r="G12" s="734"/>
      <c r="H12" s="735"/>
      <c r="I12" s="736"/>
      <c r="J12" s="698"/>
      <c r="K12" s="743"/>
      <c r="L12" s="575" t="s">
        <v>46</v>
      </c>
      <c r="M12" s="578"/>
      <c r="N12" s="723"/>
      <c r="O12" s="737"/>
      <c r="P12" s="753"/>
    </row>
    <row r="13" spans="1:16" ht="90.5" customHeight="1" x14ac:dyDescent="0.25">
      <c r="A13" s="701"/>
      <c r="B13" s="702"/>
      <c r="C13" s="725"/>
      <c r="D13" s="725"/>
      <c r="E13" s="725"/>
      <c r="F13" s="725"/>
      <c r="G13" s="728"/>
      <c r="H13" s="729"/>
      <c r="I13" s="730"/>
      <c r="J13" s="738"/>
      <c r="K13" s="695"/>
      <c r="L13" s="575" t="s">
        <v>44</v>
      </c>
      <c r="M13" s="576"/>
      <c r="N13" s="723"/>
      <c r="O13" s="737"/>
      <c r="P13" s="752"/>
    </row>
    <row r="14" spans="1:16" ht="83" customHeight="1" x14ac:dyDescent="0.25">
      <c r="A14" s="701"/>
      <c r="B14" s="702"/>
      <c r="C14" s="726"/>
      <c r="D14" s="726"/>
      <c r="E14" s="726"/>
      <c r="F14" s="726"/>
      <c r="G14" s="731"/>
      <c r="H14" s="732"/>
      <c r="I14" s="733"/>
      <c r="J14" s="739"/>
      <c r="K14" s="690"/>
      <c r="L14" s="575" t="s">
        <v>45</v>
      </c>
      <c r="M14" s="577"/>
      <c r="N14" s="723"/>
      <c r="O14" s="737"/>
      <c r="P14" s="753"/>
    </row>
    <row r="15" spans="1:16" ht="113.4" customHeight="1" x14ac:dyDescent="0.25">
      <c r="A15" s="701"/>
      <c r="B15" s="702"/>
      <c r="C15" s="727"/>
      <c r="D15" s="727"/>
      <c r="E15" s="727"/>
      <c r="F15" s="727"/>
      <c r="G15" s="734"/>
      <c r="H15" s="735"/>
      <c r="I15" s="736"/>
      <c r="J15" s="740"/>
      <c r="K15" s="691"/>
      <c r="L15" s="628" t="s">
        <v>46</v>
      </c>
      <c r="M15" s="578"/>
      <c r="N15" s="723"/>
      <c r="O15" s="737"/>
      <c r="P15" s="753"/>
    </row>
    <row r="16" spans="1:16" ht="78" customHeight="1" x14ac:dyDescent="0.25">
      <c r="A16" s="701"/>
      <c r="B16" s="702"/>
      <c r="C16" s="725"/>
      <c r="D16" s="725"/>
      <c r="E16" s="725"/>
      <c r="F16" s="725"/>
      <c r="G16" s="728"/>
      <c r="H16" s="729"/>
      <c r="I16" s="730"/>
      <c r="J16" s="738"/>
      <c r="K16" s="692"/>
      <c r="L16" s="610" t="s">
        <v>44</v>
      </c>
      <c r="M16" s="581"/>
      <c r="N16" s="723"/>
      <c r="O16" s="737"/>
      <c r="P16" s="752"/>
    </row>
    <row r="17" spans="1:16" ht="78" customHeight="1" x14ac:dyDescent="0.25">
      <c r="A17" s="701"/>
      <c r="B17" s="702"/>
      <c r="C17" s="726"/>
      <c r="D17" s="726"/>
      <c r="E17" s="726"/>
      <c r="F17" s="726"/>
      <c r="G17" s="731"/>
      <c r="H17" s="732"/>
      <c r="I17" s="733"/>
      <c r="J17" s="739"/>
      <c r="K17" s="693"/>
      <c r="L17" s="610" t="s">
        <v>45</v>
      </c>
      <c r="M17" s="582"/>
      <c r="N17" s="723"/>
      <c r="O17" s="737"/>
      <c r="P17" s="753"/>
    </row>
    <row r="18" spans="1:16" ht="78" customHeight="1" x14ac:dyDescent="0.25">
      <c r="A18" s="701"/>
      <c r="B18" s="702"/>
      <c r="C18" s="727"/>
      <c r="D18" s="727"/>
      <c r="E18" s="727"/>
      <c r="F18" s="727"/>
      <c r="G18" s="734"/>
      <c r="H18" s="735"/>
      <c r="I18" s="736"/>
      <c r="J18" s="740"/>
      <c r="K18" s="694"/>
      <c r="L18" s="610" t="s">
        <v>46</v>
      </c>
      <c r="M18" s="583"/>
      <c r="N18" s="723"/>
      <c r="O18" s="737"/>
      <c r="P18" s="753"/>
    </row>
    <row r="19" spans="1:16" ht="74" customHeight="1" x14ac:dyDescent="0.25">
      <c r="A19" s="701"/>
      <c r="B19" s="702"/>
      <c r="C19" s="725"/>
      <c r="D19" s="725"/>
      <c r="E19" s="725"/>
      <c r="F19" s="725"/>
      <c r="G19" s="728"/>
      <c r="H19" s="729"/>
      <c r="I19" s="730"/>
      <c r="J19" s="725"/>
      <c r="K19" s="689"/>
      <c r="L19" s="610" t="s">
        <v>44</v>
      </c>
      <c r="M19" s="615"/>
      <c r="N19" s="723"/>
      <c r="O19" s="737"/>
      <c r="P19" s="752"/>
    </row>
    <row r="20" spans="1:16" ht="74" customHeight="1" x14ac:dyDescent="0.25">
      <c r="A20" s="701"/>
      <c r="B20" s="702"/>
      <c r="C20" s="726"/>
      <c r="D20" s="726"/>
      <c r="E20" s="726"/>
      <c r="F20" s="726"/>
      <c r="G20" s="731"/>
      <c r="H20" s="732"/>
      <c r="I20" s="733"/>
      <c r="J20" s="726"/>
      <c r="K20" s="690"/>
      <c r="L20" s="610" t="s">
        <v>45</v>
      </c>
      <c r="M20" s="582"/>
      <c r="N20" s="723"/>
      <c r="O20" s="737"/>
      <c r="P20" s="753"/>
    </row>
    <row r="21" spans="1:16" ht="74" customHeight="1" x14ac:dyDescent="0.25">
      <c r="A21" s="701"/>
      <c r="B21" s="702"/>
      <c r="C21" s="727"/>
      <c r="D21" s="727"/>
      <c r="E21" s="727"/>
      <c r="F21" s="727"/>
      <c r="G21" s="734"/>
      <c r="H21" s="735"/>
      <c r="I21" s="736"/>
      <c r="J21" s="727"/>
      <c r="K21" s="691"/>
      <c r="L21" s="610" t="s">
        <v>46</v>
      </c>
      <c r="M21" s="583"/>
      <c r="N21" s="723"/>
      <c r="O21" s="737"/>
      <c r="P21" s="753"/>
    </row>
    <row r="22" spans="1:16" ht="54" customHeight="1" x14ac:dyDescent="0.25">
      <c r="A22" s="701"/>
      <c r="B22" s="702"/>
      <c r="C22" s="725"/>
      <c r="D22" s="725"/>
      <c r="E22" s="725"/>
      <c r="F22" s="725"/>
      <c r="G22" s="728"/>
      <c r="H22" s="729"/>
      <c r="I22" s="730"/>
      <c r="J22" s="725"/>
      <c r="K22" s="689"/>
      <c r="L22" s="610" t="s">
        <v>44</v>
      </c>
      <c r="M22" s="581"/>
      <c r="N22" s="723"/>
      <c r="O22" s="724"/>
      <c r="P22" s="752"/>
    </row>
    <row r="23" spans="1:16" ht="54" customHeight="1" x14ac:dyDescent="0.25">
      <c r="A23" s="701"/>
      <c r="B23" s="702"/>
      <c r="C23" s="726"/>
      <c r="D23" s="726"/>
      <c r="E23" s="726"/>
      <c r="F23" s="726"/>
      <c r="G23" s="731"/>
      <c r="H23" s="732"/>
      <c r="I23" s="733"/>
      <c r="J23" s="726"/>
      <c r="K23" s="690"/>
      <c r="L23" s="610" t="s">
        <v>45</v>
      </c>
      <c r="M23" s="582"/>
      <c r="N23" s="723"/>
      <c r="O23" s="724"/>
      <c r="P23" s="753"/>
    </row>
    <row r="24" spans="1:16" ht="54" customHeight="1" x14ac:dyDescent="0.25">
      <c r="A24" s="701"/>
      <c r="B24" s="702"/>
      <c r="C24" s="727"/>
      <c r="D24" s="727"/>
      <c r="E24" s="727"/>
      <c r="F24" s="727"/>
      <c r="G24" s="734"/>
      <c r="H24" s="735"/>
      <c r="I24" s="736"/>
      <c r="J24" s="727"/>
      <c r="K24" s="691"/>
      <c r="L24" s="610" t="s">
        <v>46</v>
      </c>
      <c r="M24" s="583"/>
      <c r="N24" s="723"/>
      <c r="O24" s="724"/>
      <c r="P24" s="753"/>
    </row>
    <row r="25" spans="1:16" ht="54" customHeight="1" x14ac:dyDescent="0.25">
      <c r="A25" s="701"/>
      <c r="B25" s="702"/>
      <c r="C25" s="686"/>
      <c r="D25" s="725"/>
      <c r="E25" s="725"/>
      <c r="F25" s="725"/>
      <c r="G25" s="728"/>
      <c r="H25" s="729"/>
      <c r="I25" s="730"/>
      <c r="J25" s="725"/>
      <c r="K25" s="689"/>
      <c r="L25" s="575" t="s">
        <v>44</v>
      </c>
      <c r="M25" s="576"/>
      <c r="N25" s="723"/>
      <c r="O25" s="724"/>
      <c r="P25" s="752"/>
    </row>
    <row r="26" spans="1:16" ht="54" customHeight="1" x14ac:dyDescent="0.25">
      <c r="A26" s="701"/>
      <c r="B26" s="702"/>
      <c r="C26" s="687"/>
      <c r="D26" s="726"/>
      <c r="E26" s="726"/>
      <c r="F26" s="726"/>
      <c r="G26" s="731"/>
      <c r="H26" s="732"/>
      <c r="I26" s="733"/>
      <c r="J26" s="726"/>
      <c r="K26" s="690"/>
      <c r="L26" s="575" t="s">
        <v>45</v>
      </c>
      <c r="M26" s="577"/>
      <c r="N26" s="723"/>
      <c r="O26" s="724"/>
      <c r="P26" s="753"/>
    </row>
    <row r="27" spans="1:16" ht="54" customHeight="1" x14ac:dyDescent="0.25">
      <c r="A27" s="701"/>
      <c r="B27" s="702"/>
      <c r="C27" s="688"/>
      <c r="D27" s="727"/>
      <c r="E27" s="727"/>
      <c r="F27" s="727"/>
      <c r="G27" s="734"/>
      <c r="H27" s="735"/>
      <c r="I27" s="736"/>
      <c r="J27" s="727"/>
      <c r="K27" s="691"/>
      <c r="L27" s="628" t="s">
        <v>46</v>
      </c>
      <c r="M27" s="578"/>
      <c r="N27" s="723"/>
      <c r="O27" s="724"/>
      <c r="P27" s="753"/>
    </row>
    <row r="28" spans="1:16" ht="73" customHeight="1" x14ac:dyDescent="0.25">
      <c r="A28" s="701"/>
      <c r="B28" s="702"/>
      <c r="C28" s="725"/>
      <c r="D28" s="725"/>
      <c r="E28" s="725"/>
      <c r="F28" s="725"/>
      <c r="G28" s="728"/>
      <c r="H28" s="729"/>
      <c r="I28" s="730"/>
      <c r="J28" s="725"/>
      <c r="K28" s="689"/>
      <c r="L28" s="610" t="s">
        <v>44</v>
      </c>
      <c r="M28" s="581"/>
      <c r="N28" s="723"/>
      <c r="O28" s="724"/>
      <c r="P28" s="752"/>
    </row>
    <row r="29" spans="1:16" ht="73" customHeight="1" x14ac:dyDescent="0.25">
      <c r="A29" s="701"/>
      <c r="B29" s="702"/>
      <c r="C29" s="726"/>
      <c r="D29" s="726"/>
      <c r="E29" s="726"/>
      <c r="F29" s="726"/>
      <c r="G29" s="731"/>
      <c r="H29" s="732"/>
      <c r="I29" s="733"/>
      <c r="J29" s="726"/>
      <c r="K29" s="690"/>
      <c r="L29" s="610" t="s">
        <v>45</v>
      </c>
      <c r="M29" s="582"/>
      <c r="N29" s="723"/>
      <c r="O29" s="724"/>
      <c r="P29" s="753"/>
    </row>
    <row r="30" spans="1:16" ht="73" customHeight="1" x14ac:dyDescent="0.25">
      <c r="A30" s="701"/>
      <c r="B30" s="702"/>
      <c r="C30" s="727"/>
      <c r="D30" s="727"/>
      <c r="E30" s="727"/>
      <c r="F30" s="727"/>
      <c r="G30" s="734"/>
      <c r="H30" s="735"/>
      <c r="I30" s="736"/>
      <c r="J30" s="727"/>
      <c r="K30" s="691"/>
      <c r="L30" s="610" t="s">
        <v>46</v>
      </c>
      <c r="M30" s="583"/>
      <c r="N30" s="723"/>
      <c r="O30" s="724"/>
      <c r="P30" s="753"/>
    </row>
    <row r="31" spans="1:16" ht="43.5" customHeight="1" x14ac:dyDescent="0.25">
      <c r="A31" s="701"/>
      <c r="B31" s="702"/>
      <c r="C31" s="725"/>
      <c r="D31" s="725"/>
      <c r="E31" s="725"/>
      <c r="F31" s="725"/>
      <c r="G31" s="728"/>
      <c r="H31" s="729"/>
      <c r="I31" s="730"/>
      <c r="J31" s="725"/>
      <c r="K31" s="689"/>
      <c r="L31" s="611" t="s">
        <v>44</v>
      </c>
      <c r="M31" s="584"/>
      <c r="N31" s="723"/>
      <c r="O31" s="724"/>
      <c r="P31" s="752"/>
    </row>
    <row r="32" spans="1:16" ht="57.5" customHeight="1" x14ac:dyDescent="0.25">
      <c r="A32" s="701"/>
      <c r="B32" s="702"/>
      <c r="C32" s="726"/>
      <c r="D32" s="726"/>
      <c r="E32" s="726"/>
      <c r="F32" s="726"/>
      <c r="G32" s="731"/>
      <c r="H32" s="732"/>
      <c r="I32" s="733"/>
      <c r="J32" s="726"/>
      <c r="K32" s="690"/>
      <c r="L32" s="610" t="s">
        <v>45</v>
      </c>
      <c r="M32" s="577"/>
      <c r="N32" s="723"/>
      <c r="O32" s="724"/>
      <c r="P32" s="753"/>
    </row>
    <row r="33" spans="1:16" ht="69.650000000000006" customHeight="1" x14ac:dyDescent="0.25">
      <c r="A33" s="703"/>
      <c r="B33" s="704"/>
      <c r="C33" s="727"/>
      <c r="D33" s="727"/>
      <c r="E33" s="727"/>
      <c r="F33" s="727"/>
      <c r="G33" s="734"/>
      <c r="H33" s="735"/>
      <c r="I33" s="736"/>
      <c r="J33" s="727"/>
      <c r="K33" s="691"/>
      <c r="L33" s="610" t="s">
        <v>46</v>
      </c>
      <c r="M33" s="578"/>
      <c r="N33" s="723"/>
      <c r="O33" s="724"/>
      <c r="P33" s="753"/>
    </row>
  </sheetData>
  <mergeCells count="85">
    <mergeCell ref="C19:C21"/>
    <mergeCell ref="G25:I27"/>
    <mergeCell ref="J25:J27"/>
    <mergeCell ref="P22:P24"/>
    <mergeCell ref="P25:P27"/>
    <mergeCell ref="P28:P30"/>
    <mergeCell ref="P31:P33"/>
    <mergeCell ref="P5:P9"/>
    <mergeCell ref="P10:P12"/>
    <mergeCell ref="P13:P15"/>
    <mergeCell ref="P16:P18"/>
    <mergeCell ref="P19:P21"/>
    <mergeCell ref="A2:F2"/>
    <mergeCell ref="J5:J9"/>
    <mergeCell ref="K5:K9"/>
    <mergeCell ref="N5:N9"/>
    <mergeCell ref="O5:O9"/>
    <mergeCell ref="G5:I5"/>
    <mergeCell ref="L5:M5"/>
    <mergeCell ref="A5:B9"/>
    <mergeCell ref="C5:C9"/>
    <mergeCell ref="D5:D9"/>
    <mergeCell ref="E5:E9"/>
    <mergeCell ref="F5:F9"/>
    <mergeCell ref="A3:P3"/>
    <mergeCell ref="D19:D21"/>
    <mergeCell ref="E19:E21"/>
    <mergeCell ref="F19:F21"/>
    <mergeCell ref="N19:N21"/>
    <mergeCell ref="N10:N12"/>
    <mergeCell ref="N13:N15"/>
    <mergeCell ref="K10:K12"/>
    <mergeCell ref="D10:D12"/>
    <mergeCell ref="G10:I12"/>
    <mergeCell ref="J13:J15"/>
    <mergeCell ref="D13:D15"/>
    <mergeCell ref="E16:E18"/>
    <mergeCell ref="F13:F15"/>
    <mergeCell ref="O10:O12"/>
    <mergeCell ref="F10:F12"/>
    <mergeCell ref="C16:C18"/>
    <mergeCell ref="C10:C12"/>
    <mergeCell ref="G16:I18"/>
    <mergeCell ref="O16:O18"/>
    <mergeCell ref="J16:J18"/>
    <mergeCell ref="G13:I15"/>
    <mergeCell ref="O13:O15"/>
    <mergeCell ref="C13:C15"/>
    <mergeCell ref="N16:N18"/>
    <mergeCell ref="E10:E12"/>
    <mergeCell ref="F16:F18"/>
    <mergeCell ref="E13:E15"/>
    <mergeCell ref="D16:D18"/>
    <mergeCell ref="N25:N27"/>
    <mergeCell ref="J19:J21"/>
    <mergeCell ref="O25:O27"/>
    <mergeCell ref="C22:C24"/>
    <mergeCell ref="D22:D24"/>
    <mergeCell ref="E22:E24"/>
    <mergeCell ref="F22:F24"/>
    <mergeCell ref="G22:I24"/>
    <mergeCell ref="J22:J24"/>
    <mergeCell ref="N22:N24"/>
    <mergeCell ref="O22:O24"/>
    <mergeCell ref="D25:D27"/>
    <mergeCell ref="E25:E27"/>
    <mergeCell ref="F25:F27"/>
    <mergeCell ref="O19:O21"/>
    <mergeCell ref="G19:I21"/>
    <mergeCell ref="N28:N30"/>
    <mergeCell ref="O28:O30"/>
    <mergeCell ref="C31:C33"/>
    <mergeCell ref="D31:D33"/>
    <mergeCell ref="E31:E33"/>
    <mergeCell ref="F31:F33"/>
    <mergeCell ref="G31:I33"/>
    <mergeCell ref="J31:J33"/>
    <mergeCell ref="N31:N33"/>
    <mergeCell ref="O31:O33"/>
    <mergeCell ref="C28:C30"/>
    <mergeCell ref="D28:D30"/>
    <mergeCell ref="E28:E30"/>
    <mergeCell ref="F28:F30"/>
    <mergeCell ref="G28:I30"/>
    <mergeCell ref="J28:J30"/>
  </mergeCells>
  <conditionalFormatting sqref="P10:P33">
    <cfRule type="cellIs" dxfId="19" priority="5" operator="between">
      <formula>0.7</formula>
      <formula>0.94</formula>
    </cfRule>
    <cfRule type="cellIs" dxfId="18" priority="6" operator="greaterThan">
      <formula>94</formula>
    </cfRule>
  </conditionalFormatting>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08
Hoja 2. Indicadores Proceso Direccionamiento del Sistema de Gestión Corporativo.
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5" tint="-0.499984740745262"/>
  </sheetPr>
  <dimension ref="A2:P24"/>
  <sheetViews>
    <sheetView showGridLines="0" topLeftCell="B1" zoomScale="40" zoomScaleNormal="40" workbookViewId="0">
      <selection activeCell="G16" sqref="G16:I18"/>
    </sheetView>
  </sheetViews>
  <sheetFormatPr baseColWidth="10" defaultColWidth="11.453125" defaultRowHeight="13.5" x14ac:dyDescent="0.25"/>
  <cols>
    <col min="1" max="2" width="12.453125" style="2" customWidth="1"/>
    <col min="3" max="3" width="18.90625" style="2" customWidth="1"/>
    <col min="4" max="4" width="24.453125" style="2" customWidth="1"/>
    <col min="5" max="5" width="29" style="2" customWidth="1"/>
    <col min="6" max="6" width="24.08984375" style="2" customWidth="1"/>
    <col min="7" max="7" width="14.6328125" style="2" customWidth="1"/>
    <col min="8" max="8" width="21.08984375" style="2" customWidth="1"/>
    <col min="9" max="9" width="16.36328125" style="2" customWidth="1"/>
    <col min="10" max="10" width="18.6328125" style="2" customWidth="1"/>
    <col min="11" max="11" width="14.90625" style="2" customWidth="1"/>
    <col min="12" max="12" width="17.54296875" style="2" customWidth="1"/>
    <col min="13" max="13" width="42.54296875" style="2" customWidth="1"/>
    <col min="14" max="14" width="21.81640625" style="2" customWidth="1"/>
    <col min="15" max="15" width="21.6328125" style="2" customWidth="1"/>
    <col min="16" max="16" width="28.54296875" style="2" customWidth="1"/>
    <col min="17" max="16384" width="11.453125" style="2"/>
  </cols>
  <sheetData>
    <row r="2" spans="1:16" ht="64.5" customHeight="1" x14ac:dyDescent="0.25">
      <c r="A2" s="18"/>
      <c r="B2" s="16"/>
      <c r="C2" s="16"/>
      <c r="D2" s="16"/>
      <c r="E2" s="17"/>
      <c r="F2" s="9"/>
      <c r="G2" s="9"/>
      <c r="H2" s="9"/>
      <c r="I2" s="9"/>
      <c r="J2" s="9"/>
      <c r="K2" s="9"/>
      <c r="L2" s="9"/>
      <c r="M2" s="9"/>
      <c r="N2" s="9"/>
      <c r="O2" s="9"/>
    </row>
    <row r="3" spans="1:16" ht="27.75" customHeight="1" x14ac:dyDescent="0.25">
      <c r="A3" s="780" t="s">
        <v>19</v>
      </c>
      <c r="B3" s="781"/>
      <c r="C3" s="781"/>
      <c r="D3" s="781"/>
      <c r="E3" s="781"/>
      <c r="F3" s="781"/>
      <c r="G3" s="781"/>
      <c r="H3" s="781"/>
      <c r="I3" s="781"/>
      <c r="J3" s="781"/>
      <c r="K3" s="781"/>
      <c r="L3" s="781"/>
      <c r="M3" s="781"/>
      <c r="N3" s="781"/>
      <c r="O3" s="781"/>
      <c r="P3" s="781"/>
    </row>
    <row r="5" spans="1:16" s="4" customFormat="1" ht="46.5" customHeight="1" x14ac:dyDescent="0.35">
      <c r="A5" s="768" t="s">
        <v>0</v>
      </c>
      <c r="B5" s="768"/>
      <c r="C5" s="768" t="s">
        <v>26</v>
      </c>
      <c r="D5" s="768" t="s">
        <v>1</v>
      </c>
      <c r="E5" s="768" t="s">
        <v>2</v>
      </c>
      <c r="F5" s="768" t="s">
        <v>3</v>
      </c>
      <c r="G5" s="768" t="s">
        <v>1185</v>
      </c>
      <c r="H5" s="768"/>
      <c r="I5" s="768"/>
      <c r="J5" s="757" t="s">
        <v>4</v>
      </c>
      <c r="K5" s="757" t="s">
        <v>5</v>
      </c>
      <c r="L5" s="769" t="s">
        <v>1186</v>
      </c>
      <c r="M5" s="770"/>
      <c r="N5" s="757" t="s">
        <v>6</v>
      </c>
      <c r="O5" s="757" t="s">
        <v>7</v>
      </c>
      <c r="P5" s="754" t="s">
        <v>1222</v>
      </c>
    </row>
    <row r="6" spans="1:16" s="4" customFormat="1" ht="51.75" customHeight="1" x14ac:dyDescent="0.35">
      <c r="A6" s="768"/>
      <c r="B6" s="768"/>
      <c r="C6" s="768"/>
      <c r="D6" s="768"/>
      <c r="E6" s="768"/>
      <c r="F6" s="768"/>
      <c r="G6" s="629" t="s">
        <v>31</v>
      </c>
      <c r="H6" s="629" t="s">
        <v>32</v>
      </c>
      <c r="I6" s="629" t="s">
        <v>43</v>
      </c>
      <c r="J6" s="758"/>
      <c r="K6" s="758"/>
      <c r="L6" s="629" t="s">
        <v>47</v>
      </c>
      <c r="M6" s="629" t="s">
        <v>48</v>
      </c>
      <c r="N6" s="758"/>
      <c r="O6" s="758"/>
      <c r="P6" s="755"/>
    </row>
    <row r="7" spans="1:16" s="4" customFormat="1" ht="73.5" customHeight="1" x14ac:dyDescent="0.35">
      <c r="A7" s="768"/>
      <c r="B7" s="768"/>
      <c r="C7" s="768"/>
      <c r="D7" s="768"/>
      <c r="E7" s="768"/>
      <c r="F7" s="768"/>
      <c r="G7" s="630" t="s">
        <v>35</v>
      </c>
      <c r="H7" s="631" t="s">
        <v>37</v>
      </c>
      <c r="I7" s="630" t="s">
        <v>40</v>
      </c>
      <c r="J7" s="758"/>
      <c r="K7" s="758"/>
      <c r="L7" s="572" t="s">
        <v>44</v>
      </c>
      <c r="M7" s="631" t="s">
        <v>52</v>
      </c>
      <c r="N7" s="758"/>
      <c r="O7" s="758"/>
      <c r="P7" s="755"/>
    </row>
    <row r="8" spans="1:16" s="4" customFormat="1" ht="68.25" customHeight="1" x14ac:dyDescent="0.35">
      <c r="A8" s="768"/>
      <c r="B8" s="768"/>
      <c r="C8" s="768"/>
      <c r="D8" s="768"/>
      <c r="E8" s="768"/>
      <c r="F8" s="768"/>
      <c r="G8" s="630" t="s">
        <v>34</v>
      </c>
      <c r="H8" s="631" t="s">
        <v>38</v>
      </c>
      <c r="I8" s="630" t="s">
        <v>41</v>
      </c>
      <c r="J8" s="758"/>
      <c r="K8" s="758"/>
      <c r="L8" s="573" t="s">
        <v>45</v>
      </c>
      <c r="M8" s="631" t="s">
        <v>50</v>
      </c>
      <c r="N8" s="758"/>
      <c r="O8" s="758"/>
      <c r="P8" s="755"/>
    </row>
    <row r="9" spans="1:16" s="4" customFormat="1" ht="70.5" customHeight="1" x14ac:dyDescent="0.35">
      <c r="A9" s="768"/>
      <c r="B9" s="768"/>
      <c r="C9" s="757"/>
      <c r="D9" s="757"/>
      <c r="E9" s="757"/>
      <c r="F9" s="757"/>
      <c r="G9" s="630" t="s">
        <v>36</v>
      </c>
      <c r="H9" s="631" t="s">
        <v>39</v>
      </c>
      <c r="I9" s="630" t="s">
        <v>42</v>
      </c>
      <c r="J9" s="758"/>
      <c r="K9" s="758"/>
      <c r="L9" s="585" t="s">
        <v>46</v>
      </c>
      <c r="M9" s="632" t="s">
        <v>51</v>
      </c>
      <c r="N9" s="758"/>
      <c r="O9" s="758"/>
      <c r="P9" s="756"/>
    </row>
    <row r="10" spans="1:16" ht="61.5" customHeight="1" x14ac:dyDescent="0.25">
      <c r="A10" s="728"/>
      <c r="B10" s="730"/>
      <c r="C10" s="774"/>
      <c r="D10" s="762"/>
      <c r="E10" s="775"/>
      <c r="F10" s="773"/>
      <c r="G10" s="771"/>
      <c r="H10" s="763"/>
      <c r="I10" s="772"/>
      <c r="J10" s="764"/>
      <c r="K10" s="765"/>
      <c r="L10" s="677" t="s">
        <v>44</v>
      </c>
      <c r="M10" s="576"/>
      <c r="N10" s="737"/>
      <c r="O10" s="737"/>
      <c r="P10" s="782"/>
    </row>
    <row r="11" spans="1:16" ht="61.5" customHeight="1" x14ac:dyDescent="0.25">
      <c r="A11" s="731"/>
      <c r="B11" s="733"/>
      <c r="C11" s="774"/>
      <c r="D11" s="762"/>
      <c r="E11" s="775"/>
      <c r="F11" s="773"/>
      <c r="G11" s="771"/>
      <c r="H11" s="763"/>
      <c r="I11" s="772"/>
      <c r="J11" s="764"/>
      <c r="K11" s="766"/>
      <c r="L11" s="677" t="s">
        <v>45</v>
      </c>
      <c r="M11" s="577"/>
      <c r="N11" s="737"/>
      <c r="O11" s="737"/>
      <c r="P11" s="783"/>
    </row>
    <row r="12" spans="1:16" ht="61.5" customHeight="1" x14ac:dyDescent="0.25">
      <c r="A12" s="731"/>
      <c r="B12" s="733"/>
      <c r="C12" s="774"/>
      <c r="D12" s="762"/>
      <c r="E12" s="775"/>
      <c r="F12" s="773"/>
      <c r="G12" s="771"/>
      <c r="H12" s="763"/>
      <c r="I12" s="772"/>
      <c r="J12" s="764"/>
      <c r="K12" s="767"/>
      <c r="L12" s="677" t="s">
        <v>46</v>
      </c>
      <c r="M12" s="578"/>
      <c r="N12" s="737"/>
      <c r="O12" s="737"/>
      <c r="P12" s="783"/>
    </row>
    <row r="13" spans="1:16" ht="61.5" customHeight="1" x14ac:dyDescent="0.25">
      <c r="A13" s="731"/>
      <c r="B13" s="733"/>
      <c r="C13" s="759"/>
      <c r="D13" s="762"/>
      <c r="E13" s="773"/>
      <c r="F13" s="776"/>
      <c r="G13" s="763"/>
      <c r="H13" s="763"/>
      <c r="I13" s="763"/>
      <c r="J13" s="764"/>
      <c r="K13" s="765"/>
      <c r="L13" s="677" t="s">
        <v>44</v>
      </c>
      <c r="M13" s="576"/>
      <c r="N13" s="737"/>
      <c r="O13" s="724"/>
      <c r="P13" s="782"/>
    </row>
    <row r="14" spans="1:16" ht="61.5" customHeight="1" x14ac:dyDescent="0.25">
      <c r="A14" s="731"/>
      <c r="B14" s="733"/>
      <c r="C14" s="760"/>
      <c r="D14" s="762"/>
      <c r="E14" s="773"/>
      <c r="F14" s="773"/>
      <c r="G14" s="763"/>
      <c r="H14" s="763"/>
      <c r="I14" s="763"/>
      <c r="J14" s="764"/>
      <c r="K14" s="766"/>
      <c r="L14" s="677" t="s">
        <v>45</v>
      </c>
      <c r="M14" s="577"/>
      <c r="N14" s="737"/>
      <c r="O14" s="724"/>
      <c r="P14" s="783"/>
    </row>
    <row r="15" spans="1:16" ht="61.5" customHeight="1" x14ac:dyDescent="0.25">
      <c r="A15" s="731"/>
      <c r="B15" s="733"/>
      <c r="C15" s="761"/>
      <c r="D15" s="762"/>
      <c r="E15" s="773"/>
      <c r="F15" s="773"/>
      <c r="G15" s="763"/>
      <c r="H15" s="763"/>
      <c r="I15" s="763"/>
      <c r="J15" s="764"/>
      <c r="K15" s="767"/>
      <c r="L15" s="677" t="s">
        <v>46</v>
      </c>
      <c r="M15" s="578"/>
      <c r="N15" s="737"/>
      <c r="O15" s="724"/>
      <c r="P15" s="783"/>
    </row>
    <row r="16" spans="1:16" ht="57" customHeight="1" x14ac:dyDescent="0.25">
      <c r="A16" s="731"/>
      <c r="B16" s="733"/>
      <c r="C16" s="759"/>
      <c r="D16" s="762"/>
      <c r="E16" s="763"/>
      <c r="F16" s="727"/>
      <c r="G16" s="763"/>
      <c r="H16" s="763"/>
      <c r="I16" s="763"/>
      <c r="J16" s="764"/>
      <c r="K16" s="765"/>
      <c r="L16" s="678" t="s">
        <v>44</v>
      </c>
      <c r="M16" s="584"/>
      <c r="N16" s="737"/>
      <c r="O16" s="724"/>
      <c r="P16" s="777"/>
    </row>
    <row r="17" spans="1:16" ht="57" customHeight="1" x14ac:dyDescent="0.25">
      <c r="A17" s="731"/>
      <c r="B17" s="733"/>
      <c r="C17" s="760"/>
      <c r="D17" s="762"/>
      <c r="E17" s="763"/>
      <c r="F17" s="763"/>
      <c r="G17" s="763"/>
      <c r="H17" s="763"/>
      <c r="I17" s="763"/>
      <c r="J17" s="764"/>
      <c r="K17" s="766"/>
      <c r="L17" s="677" t="s">
        <v>45</v>
      </c>
      <c r="M17" s="577"/>
      <c r="N17" s="737"/>
      <c r="O17" s="724"/>
      <c r="P17" s="778"/>
    </row>
    <row r="18" spans="1:16" ht="57" customHeight="1" x14ac:dyDescent="0.25">
      <c r="A18" s="731"/>
      <c r="B18" s="733"/>
      <c r="C18" s="761"/>
      <c r="D18" s="762"/>
      <c r="E18" s="763"/>
      <c r="F18" s="763"/>
      <c r="G18" s="763"/>
      <c r="H18" s="763"/>
      <c r="I18" s="763"/>
      <c r="J18" s="764"/>
      <c r="K18" s="767"/>
      <c r="L18" s="677" t="s">
        <v>46</v>
      </c>
      <c r="M18" s="578"/>
      <c r="N18" s="737"/>
      <c r="O18" s="724"/>
      <c r="P18" s="779"/>
    </row>
    <row r="19" spans="1:16" ht="42.75" customHeight="1" x14ac:dyDescent="0.25">
      <c r="A19" s="731"/>
      <c r="B19" s="733"/>
      <c r="C19" s="759"/>
      <c r="D19" s="762"/>
      <c r="E19" s="763"/>
      <c r="F19" s="727"/>
      <c r="G19" s="763"/>
      <c r="H19" s="763"/>
      <c r="I19" s="763"/>
      <c r="J19" s="764"/>
      <c r="K19" s="765"/>
      <c r="L19" s="678" t="s">
        <v>44</v>
      </c>
      <c r="M19" s="576"/>
      <c r="N19" s="737"/>
      <c r="O19" s="724"/>
      <c r="P19" s="784"/>
    </row>
    <row r="20" spans="1:16" ht="42.75" customHeight="1" x14ac:dyDescent="0.25">
      <c r="A20" s="731"/>
      <c r="B20" s="733"/>
      <c r="C20" s="760"/>
      <c r="D20" s="762"/>
      <c r="E20" s="763"/>
      <c r="F20" s="763"/>
      <c r="G20" s="763"/>
      <c r="H20" s="763"/>
      <c r="I20" s="763"/>
      <c r="J20" s="764"/>
      <c r="K20" s="766"/>
      <c r="L20" s="677" t="s">
        <v>45</v>
      </c>
      <c r="M20" s="577"/>
      <c r="N20" s="737"/>
      <c r="O20" s="724"/>
      <c r="P20" s="785"/>
    </row>
    <row r="21" spans="1:16" ht="55.5" customHeight="1" x14ac:dyDescent="0.25">
      <c r="A21" s="731"/>
      <c r="B21" s="733"/>
      <c r="C21" s="761"/>
      <c r="D21" s="762"/>
      <c r="E21" s="763"/>
      <c r="F21" s="763"/>
      <c r="G21" s="763"/>
      <c r="H21" s="763"/>
      <c r="I21" s="763"/>
      <c r="J21" s="764"/>
      <c r="K21" s="767"/>
      <c r="L21" s="677" t="s">
        <v>46</v>
      </c>
      <c r="M21" s="578"/>
      <c r="N21" s="737"/>
      <c r="O21" s="724"/>
      <c r="P21" s="786"/>
    </row>
    <row r="22" spans="1:16" ht="73.5" customHeight="1" x14ac:dyDescent="0.25">
      <c r="A22" s="731"/>
      <c r="B22" s="733"/>
      <c r="C22" s="759"/>
      <c r="D22" s="762"/>
      <c r="E22" s="763"/>
      <c r="F22" s="727"/>
      <c r="G22" s="763"/>
      <c r="H22" s="763"/>
      <c r="I22" s="763"/>
      <c r="J22" s="764"/>
      <c r="K22" s="765"/>
      <c r="L22" s="678" t="s">
        <v>44</v>
      </c>
      <c r="M22" s="584"/>
      <c r="N22" s="737"/>
      <c r="O22" s="724"/>
      <c r="P22" s="777"/>
    </row>
    <row r="23" spans="1:16" ht="73.5" customHeight="1" x14ac:dyDescent="0.25">
      <c r="A23" s="731"/>
      <c r="B23" s="733"/>
      <c r="C23" s="760"/>
      <c r="D23" s="762"/>
      <c r="E23" s="763"/>
      <c r="F23" s="763"/>
      <c r="G23" s="763"/>
      <c r="H23" s="763"/>
      <c r="I23" s="763"/>
      <c r="J23" s="764"/>
      <c r="K23" s="766"/>
      <c r="L23" s="677" t="s">
        <v>45</v>
      </c>
      <c r="M23" s="577"/>
      <c r="N23" s="737"/>
      <c r="O23" s="724"/>
      <c r="P23" s="778"/>
    </row>
    <row r="24" spans="1:16" ht="73.5" customHeight="1" x14ac:dyDescent="0.25">
      <c r="A24" s="734"/>
      <c r="B24" s="736"/>
      <c r="C24" s="761"/>
      <c r="D24" s="762"/>
      <c r="E24" s="763"/>
      <c r="F24" s="763"/>
      <c r="G24" s="763"/>
      <c r="H24" s="763"/>
      <c r="I24" s="763"/>
      <c r="J24" s="764"/>
      <c r="K24" s="767"/>
      <c r="L24" s="677" t="s">
        <v>46</v>
      </c>
      <c r="M24" s="578"/>
      <c r="N24" s="737"/>
      <c r="O24" s="724"/>
      <c r="P24" s="779"/>
    </row>
  </sheetData>
  <mergeCells count="64">
    <mergeCell ref="P22:P24"/>
    <mergeCell ref="A3:P3"/>
    <mergeCell ref="P5:P9"/>
    <mergeCell ref="P10:P12"/>
    <mergeCell ref="P13:P15"/>
    <mergeCell ref="P16:P18"/>
    <mergeCell ref="P19:P21"/>
    <mergeCell ref="N10:N12"/>
    <mergeCell ref="O10:O12"/>
    <mergeCell ref="J10:J12"/>
    <mergeCell ref="K10:K12"/>
    <mergeCell ref="N13:N15"/>
    <mergeCell ref="O13:O15"/>
    <mergeCell ref="E22:E24"/>
    <mergeCell ref="F22:F24"/>
    <mergeCell ref="D13:D15"/>
    <mergeCell ref="F10:F12"/>
    <mergeCell ref="C10:C12"/>
    <mergeCell ref="D10:D12"/>
    <mergeCell ref="E10:E12"/>
    <mergeCell ref="J22:J24"/>
    <mergeCell ref="C13:C15"/>
    <mergeCell ref="C16:C18"/>
    <mergeCell ref="D16:D18"/>
    <mergeCell ref="E16:E18"/>
    <mergeCell ref="F16:F18"/>
    <mergeCell ref="E13:E15"/>
    <mergeCell ref="F13:F15"/>
    <mergeCell ref="K22:K24"/>
    <mergeCell ref="N22:N24"/>
    <mergeCell ref="O22:O24"/>
    <mergeCell ref="G22:I24"/>
    <mergeCell ref="G10:I12"/>
    <mergeCell ref="J16:J18"/>
    <mergeCell ref="K16:K18"/>
    <mergeCell ref="G16:I18"/>
    <mergeCell ref="J13:J15"/>
    <mergeCell ref="K13:K15"/>
    <mergeCell ref="A5:B9"/>
    <mergeCell ref="C5:C9"/>
    <mergeCell ref="D5:D9"/>
    <mergeCell ref="E5:E9"/>
    <mergeCell ref="F5:F9"/>
    <mergeCell ref="G5:I5"/>
    <mergeCell ref="J5:J9"/>
    <mergeCell ref="K5:K9"/>
    <mergeCell ref="L5:M5"/>
    <mergeCell ref="N5:N9"/>
    <mergeCell ref="O5:O9"/>
    <mergeCell ref="A10:B24"/>
    <mergeCell ref="C22:C24"/>
    <mergeCell ref="D22:D24"/>
    <mergeCell ref="N19:N21"/>
    <mergeCell ref="O19:O21"/>
    <mergeCell ref="C19:C21"/>
    <mergeCell ref="D19:D21"/>
    <mergeCell ref="E19:E21"/>
    <mergeCell ref="F19:F21"/>
    <mergeCell ref="G19:I21"/>
    <mergeCell ref="J19:J21"/>
    <mergeCell ref="K19:K21"/>
    <mergeCell ref="N16:N18"/>
    <mergeCell ref="O16:O18"/>
    <mergeCell ref="G13:I15"/>
  </mergeCell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08
Hoja 3. Indicadores Proceso Mejoramiento del Sistema de Gestión Corporativo
Página &amp;P de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tint="-0.249977111117893"/>
  </sheetPr>
  <dimension ref="A2:P31"/>
  <sheetViews>
    <sheetView showGridLines="0" zoomScale="40" zoomScaleNormal="40" workbookViewId="0">
      <selection activeCell="J16" sqref="J16:J18"/>
    </sheetView>
  </sheetViews>
  <sheetFormatPr baseColWidth="10" defaultColWidth="11.453125" defaultRowHeight="13.5" x14ac:dyDescent="0.25"/>
  <cols>
    <col min="1" max="2" width="12.453125" style="2" customWidth="1"/>
    <col min="3" max="3" width="18.90625" style="2" customWidth="1"/>
    <col min="4" max="4" width="28.36328125" style="2" customWidth="1"/>
    <col min="5" max="5" width="29" style="2" customWidth="1"/>
    <col min="6" max="6" width="22.54296875" style="2" customWidth="1"/>
    <col min="7" max="7" width="14.6328125" style="2" customWidth="1"/>
    <col min="8" max="8" width="21.08984375" style="2" customWidth="1"/>
    <col min="9" max="9" width="16.6328125" style="2" customWidth="1"/>
    <col min="10" max="10" width="15.90625" style="2" customWidth="1"/>
    <col min="11" max="11" width="14.54296875" style="2" customWidth="1"/>
    <col min="12" max="12" width="25.36328125" style="2" customWidth="1"/>
    <col min="13" max="13" width="42.54296875" style="2" customWidth="1"/>
    <col min="14" max="14" width="19" style="2" customWidth="1"/>
    <col min="15" max="15" width="20.54296875" style="2" customWidth="1"/>
    <col min="16" max="16" width="28.54296875" style="2" customWidth="1"/>
    <col min="17" max="16384" width="11.453125" style="2"/>
  </cols>
  <sheetData>
    <row r="2" spans="1:16" ht="64.5" customHeight="1" x14ac:dyDescent="0.25">
      <c r="A2" s="744"/>
      <c r="B2" s="744"/>
      <c r="C2" s="744"/>
      <c r="D2" s="744"/>
      <c r="E2" s="9"/>
      <c r="F2" s="9"/>
      <c r="G2" s="9"/>
      <c r="H2" s="9"/>
      <c r="I2" s="9"/>
      <c r="J2" s="9"/>
      <c r="K2" s="9"/>
      <c r="L2" s="9"/>
      <c r="M2" s="9"/>
      <c r="N2" s="9"/>
      <c r="O2" s="9"/>
    </row>
    <row r="3" spans="1:16" ht="27.75" customHeight="1" x14ac:dyDescent="0.25">
      <c r="A3" s="800" t="s">
        <v>21</v>
      </c>
      <c r="B3" s="801"/>
      <c r="C3" s="801"/>
      <c r="D3" s="801"/>
      <c r="E3" s="801"/>
      <c r="F3" s="801"/>
      <c r="G3" s="801"/>
      <c r="H3" s="801"/>
      <c r="I3" s="801"/>
      <c r="J3" s="801"/>
      <c r="K3" s="801"/>
      <c r="L3" s="801"/>
      <c r="M3" s="801"/>
      <c r="N3" s="801"/>
      <c r="O3" s="801"/>
      <c r="P3" s="801"/>
    </row>
    <row r="5" spans="1:16" s="4" customFormat="1" ht="41.25" customHeight="1" x14ac:dyDescent="0.35">
      <c r="A5" s="799" t="s">
        <v>0</v>
      </c>
      <c r="B5" s="799"/>
      <c r="C5" s="799" t="s">
        <v>26</v>
      </c>
      <c r="D5" s="799" t="s">
        <v>1</v>
      </c>
      <c r="E5" s="799" t="s">
        <v>2</v>
      </c>
      <c r="F5" s="799" t="s">
        <v>3</v>
      </c>
      <c r="G5" s="799" t="s">
        <v>1185</v>
      </c>
      <c r="H5" s="799"/>
      <c r="I5" s="799"/>
      <c r="J5" s="797" t="s">
        <v>4</v>
      </c>
      <c r="K5" s="797" t="s">
        <v>5</v>
      </c>
      <c r="L5" s="802" t="s">
        <v>1186</v>
      </c>
      <c r="M5" s="803"/>
      <c r="N5" s="797" t="s">
        <v>6</v>
      </c>
      <c r="O5" s="797" t="s">
        <v>7</v>
      </c>
      <c r="P5" s="754" t="s">
        <v>1222</v>
      </c>
    </row>
    <row r="6" spans="1:16" s="4" customFormat="1" ht="51" customHeight="1" x14ac:dyDescent="0.35">
      <c r="A6" s="799"/>
      <c r="B6" s="799"/>
      <c r="C6" s="799"/>
      <c r="D6" s="799"/>
      <c r="E6" s="799"/>
      <c r="F6" s="799"/>
      <c r="G6" s="634" t="s">
        <v>31</v>
      </c>
      <c r="H6" s="634" t="s">
        <v>32</v>
      </c>
      <c r="I6" s="634" t="s">
        <v>43</v>
      </c>
      <c r="J6" s="798"/>
      <c r="K6" s="798"/>
      <c r="L6" s="634" t="s">
        <v>47</v>
      </c>
      <c r="M6" s="634" t="s">
        <v>48</v>
      </c>
      <c r="N6" s="798"/>
      <c r="O6" s="798"/>
      <c r="P6" s="755"/>
    </row>
    <row r="7" spans="1:16" s="4" customFormat="1" ht="71.25" customHeight="1" x14ac:dyDescent="0.35">
      <c r="A7" s="799"/>
      <c r="B7" s="799"/>
      <c r="C7" s="799"/>
      <c r="D7" s="799"/>
      <c r="E7" s="799"/>
      <c r="F7" s="799"/>
      <c r="G7" s="635" t="s">
        <v>35</v>
      </c>
      <c r="H7" s="636" t="s">
        <v>37</v>
      </c>
      <c r="I7" s="635" t="s">
        <v>40</v>
      </c>
      <c r="J7" s="798"/>
      <c r="K7" s="798"/>
      <c r="L7" s="572" t="s">
        <v>44</v>
      </c>
      <c r="M7" s="636" t="s">
        <v>52</v>
      </c>
      <c r="N7" s="798"/>
      <c r="O7" s="798"/>
      <c r="P7" s="755"/>
    </row>
    <row r="8" spans="1:16" s="4" customFormat="1" ht="71.25" customHeight="1" x14ac:dyDescent="0.35">
      <c r="A8" s="799"/>
      <c r="B8" s="799"/>
      <c r="C8" s="799"/>
      <c r="D8" s="799"/>
      <c r="E8" s="799"/>
      <c r="F8" s="799"/>
      <c r="G8" s="635" t="s">
        <v>34</v>
      </c>
      <c r="H8" s="636" t="s">
        <v>38</v>
      </c>
      <c r="I8" s="635" t="s">
        <v>41</v>
      </c>
      <c r="J8" s="798"/>
      <c r="K8" s="798"/>
      <c r="L8" s="573" t="s">
        <v>45</v>
      </c>
      <c r="M8" s="636" t="s">
        <v>50</v>
      </c>
      <c r="N8" s="798"/>
      <c r="O8" s="798"/>
      <c r="P8" s="755"/>
    </row>
    <row r="9" spans="1:16" s="4" customFormat="1" ht="73.5" customHeight="1" x14ac:dyDescent="0.35">
      <c r="A9" s="799"/>
      <c r="B9" s="799"/>
      <c r="C9" s="797"/>
      <c r="D9" s="797"/>
      <c r="E9" s="797"/>
      <c r="F9" s="797"/>
      <c r="G9" s="637" t="s">
        <v>36</v>
      </c>
      <c r="H9" s="638" t="s">
        <v>39</v>
      </c>
      <c r="I9" s="637" t="s">
        <v>42</v>
      </c>
      <c r="J9" s="798"/>
      <c r="K9" s="798"/>
      <c r="L9" s="585" t="s">
        <v>46</v>
      </c>
      <c r="M9" s="638" t="s">
        <v>51</v>
      </c>
      <c r="N9" s="798"/>
      <c r="O9" s="798"/>
      <c r="P9" s="756"/>
    </row>
    <row r="10" spans="1:16" ht="63" customHeight="1" x14ac:dyDescent="0.25">
      <c r="A10" s="728"/>
      <c r="B10" s="730"/>
      <c r="C10" s="774"/>
      <c r="D10" s="787"/>
      <c r="E10" s="737"/>
      <c r="F10" s="737"/>
      <c r="G10" s="737"/>
      <c r="H10" s="737"/>
      <c r="I10" s="737"/>
      <c r="J10" s="796"/>
      <c r="K10" s="765"/>
      <c r="L10" s="590" t="s">
        <v>44</v>
      </c>
      <c r="M10" s="576"/>
      <c r="N10" s="737"/>
      <c r="O10" s="724"/>
      <c r="P10" s="782"/>
    </row>
    <row r="11" spans="1:16" ht="63" customHeight="1" x14ac:dyDescent="0.25">
      <c r="A11" s="731"/>
      <c r="B11" s="733"/>
      <c r="C11" s="774"/>
      <c r="D11" s="787"/>
      <c r="E11" s="737"/>
      <c r="F11" s="737"/>
      <c r="G11" s="737"/>
      <c r="H11" s="737"/>
      <c r="I11" s="737"/>
      <c r="J11" s="796"/>
      <c r="K11" s="766"/>
      <c r="L11" s="590" t="s">
        <v>45</v>
      </c>
      <c r="M11" s="577"/>
      <c r="N11" s="737"/>
      <c r="O11" s="724"/>
      <c r="P11" s="783"/>
    </row>
    <row r="12" spans="1:16" ht="63" customHeight="1" x14ac:dyDescent="0.25">
      <c r="A12" s="731"/>
      <c r="B12" s="733"/>
      <c r="C12" s="774"/>
      <c r="D12" s="787"/>
      <c r="E12" s="737"/>
      <c r="F12" s="737"/>
      <c r="G12" s="737"/>
      <c r="H12" s="737"/>
      <c r="I12" s="737"/>
      <c r="J12" s="796"/>
      <c r="K12" s="767"/>
      <c r="L12" s="591" t="s">
        <v>46</v>
      </c>
      <c r="M12" s="592"/>
      <c r="N12" s="737"/>
      <c r="O12" s="724"/>
      <c r="P12" s="783"/>
    </row>
    <row r="13" spans="1:16" ht="66.5" customHeight="1" x14ac:dyDescent="0.25">
      <c r="A13" s="731"/>
      <c r="B13" s="733"/>
      <c r="C13" s="774"/>
      <c r="D13" s="762"/>
      <c r="E13" s="763"/>
      <c r="F13" s="763"/>
      <c r="G13" s="763"/>
      <c r="H13" s="763"/>
      <c r="I13" s="763"/>
      <c r="J13" s="764"/>
      <c r="K13" s="765"/>
      <c r="L13" s="590" t="s">
        <v>44</v>
      </c>
      <c r="M13" s="576"/>
      <c r="N13" s="737"/>
      <c r="O13" s="724"/>
      <c r="P13" s="782"/>
    </row>
    <row r="14" spans="1:16" ht="66.5" customHeight="1" x14ac:dyDescent="0.25">
      <c r="A14" s="731"/>
      <c r="B14" s="733"/>
      <c r="C14" s="774"/>
      <c r="D14" s="762"/>
      <c r="E14" s="763"/>
      <c r="F14" s="763"/>
      <c r="G14" s="763"/>
      <c r="H14" s="763"/>
      <c r="I14" s="763"/>
      <c r="J14" s="764"/>
      <c r="K14" s="766"/>
      <c r="L14" s="590" t="s">
        <v>45</v>
      </c>
      <c r="M14" s="577"/>
      <c r="N14" s="737"/>
      <c r="O14" s="724"/>
      <c r="P14" s="783"/>
    </row>
    <row r="15" spans="1:16" ht="66.5" customHeight="1" x14ac:dyDescent="0.25">
      <c r="A15" s="731"/>
      <c r="B15" s="733"/>
      <c r="C15" s="774"/>
      <c r="D15" s="762"/>
      <c r="E15" s="763"/>
      <c r="F15" s="763"/>
      <c r="G15" s="763"/>
      <c r="H15" s="763"/>
      <c r="I15" s="763"/>
      <c r="J15" s="764"/>
      <c r="K15" s="767"/>
      <c r="L15" s="591" t="s">
        <v>46</v>
      </c>
      <c r="M15" s="592"/>
      <c r="N15" s="737"/>
      <c r="O15" s="724"/>
      <c r="P15" s="783"/>
    </row>
    <row r="16" spans="1:16" ht="66.5" customHeight="1" x14ac:dyDescent="0.25">
      <c r="A16" s="731"/>
      <c r="B16" s="733"/>
      <c r="C16" s="759"/>
      <c r="D16" s="762"/>
      <c r="E16" s="763"/>
      <c r="F16" s="763"/>
      <c r="G16" s="763"/>
      <c r="H16" s="763"/>
      <c r="I16" s="763"/>
      <c r="J16" s="763"/>
      <c r="K16" s="795"/>
      <c r="L16" s="575" t="s">
        <v>44</v>
      </c>
      <c r="M16" s="584"/>
      <c r="N16" s="737"/>
      <c r="O16" s="737"/>
      <c r="P16" s="782"/>
    </row>
    <row r="17" spans="1:16" ht="66.5" customHeight="1" x14ac:dyDescent="0.25">
      <c r="A17" s="731"/>
      <c r="B17" s="733"/>
      <c r="C17" s="760"/>
      <c r="D17" s="762"/>
      <c r="E17" s="763"/>
      <c r="F17" s="763"/>
      <c r="G17" s="763"/>
      <c r="H17" s="763"/>
      <c r="I17" s="763"/>
      <c r="J17" s="763"/>
      <c r="K17" s="766"/>
      <c r="L17" s="575" t="s">
        <v>45</v>
      </c>
      <c r="M17" s="577"/>
      <c r="N17" s="737"/>
      <c r="O17" s="737"/>
      <c r="P17" s="783"/>
    </row>
    <row r="18" spans="1:16" ht="66.5" customHeight="1" x14ac:dyDescent="0.25">
      <c r="A18" s="731"/>
      <c r="B18" s="733"/>
      <c r="C18" s="761"/>
      <c r="D18" s="762"/>
      <c r="E18" s="763"/>
      <c r="F18" s="763"/>
      <c r="G18" s="763"/>
      <c r="H18" s="763"/>
      <c r="I18" s="763"/>
      <c r="J18" s="763"/>
      <c r="K18" s="767"/>
      <c r="L18" s="575" t="s">
        <v>46</v>
      </c>
      <c r="M18" s="578"/>
      <c r="N18" s="737"/>
      <c r="O18" s="737"/>
      <c r="P18" s="783"/>
    </row>
    <row r="19" spans="1:16" ht="66.5" customHeight="1" x14ac:dyDescent="0.25">
      <c r="A19" s="731"/>
      <c r="B19" s="733"/>
      <c r="C19" s="759"/>
      <c r="D19" s="787"/>
      <c r="E19" s="737"/>
      <c r="F19" s="740"/>
      <c r="G19" s="737"/>
      <c r="H19" s="737"/>
      <c r="I19" s="737"/>
      <c r="J19" s="796"/>
      <c r="K19" s="765"/>
      <c r="L19" s="610" t="s">
        <v>44</v>
      </c>
      <c r="M19" s="615"/>
      <c r="N19" s="737"/>
      <c r="O19" s="724"/>
      <c r="P19" s="782"/>
    </row>
    <row r="20" spans="1:16" ht="66.5" customHeight="1" x14ac:dyDescent="0.25">
      <c r="A20" s="731"/>
      <c r="B20" s="733"/>
      <c r="C20" s="760"/>
      <c r="D20" s="787"/>
      <c r="E20" s="737"/>
      <c r="F20" s="737"/>
      <c r="G20" s="737"/>
      <c r="H20" s="737"/>
      <c r="I20" s="737"/>
      <c r="J20" s="796"/>
      <c r="K20" s="766"/>
      <c r="L20" s="610" t="s">
        <v>45</v>
      </c>
      <c r="M20" s="582"/>
      <c r="N20" s="737"/>
      <c r="O20" s="724"/>
      <c r="P20" s="783"/>
    </row>
    <row r="21" spans="1:16" ht="66.5" customHeight="1" x14ac:dyDescent="0.25">
      <c r="A21" s="731"/>
      <c r="B21" s="733"/>
      <c r="C21" s="761"/>
      <c r="D21" s="787"/>
      <c r="E21" s="737"/>
      <c r="F21" s="737"/>
      <c r="G21" s="737"/>
      <c r="H21" s="737"/>
      <c r="I21" s="737"/>
      <c r="J21" s="796"/>
      <c r="K21" s="767"/>
      <c r="L21" s="610" t="s">
        <v>46</v>
      </c>
      <c r="M21" s="583"/>
      <c r="N21" s="737"/>
      <c r="O21" s="724"/>
      <c r="P21" s="783"/>
    </row>
    <row r="22" spans="1:16" ht="59" customHeight="1" x14ac:dyDescent="0.25">
      <c r="A22" s="731"/>
      <c r="B22" s="733"/>
      <c r="C22" s="759"/>
      <c r="D22" s="762"/>
      <c r="E22" s="763"/>
      <c r="F22" s="727"/>
      <c r="G22" s="763"/>
      <c r="H22" s="763"/>
      <c r="I22" s="763"/>
      <c r="J22" s="764"/>
      <c r="K22" s="765"/>
      <c r="L22" s="575" t="s">
        <v>44</v>
      </c>
      <c r="M22" s="576"/>
      <c r="N22" s="737"/>
      <c r="O22" s="724"/>
      <c r="P22" s="782"/>
    </row>
    <row r="23" spans="1:16" ht="59" customHeight="1" x14ac:dyDescent="0.25">
      <c r="A23" s="731"/>
      <c r="B23" s="733"/>
      <c r="C23" s="760"/>
      <c r="D23" s="762"/>
      <c r="E23" s="763"/>
      <c r="F23" s="763"/>
      <c r="G23" s="763"/>
      <c r="H23" s="763"/>
      <c r="I23" s="763"/>
      <c r="J23" s="764"/>
      <c r="K23" s="766"/>
      <c r="L23" s="575" t="s">
        <v>45</v>
      </c>
      <c r="M23" s="577"/>
      <c r="N23" s="737"/>
      <c r="O23" s="724"/>
      <c r="P23" s="783"/>
    </row>
    <row r="24" spans="1:16" ht="59" customHeight="1" x14ac:dyDescent="0.25">
      <c r="A24" s="731"/>
      <c r="B24" s="733"/>
      <c r="C24" s="761"/>
      <c r="D24" s="762"/>
      <c r="E24" s="763"/>
      <c r="F24" s="763"/>
      <c r="G24" s="763"/>
      <c r="H24" s="763"/>
      <c r="I24" s="763"/>
      <c r="J24" s="764"/>
      <c r="K24" s="767"/>
      <c r="L24" s="628" t="s">
        <v>46</v>
      </c>
      <c r="M24" s="578"/>
      <c r="N24" s="737"/>
      <c r="O24" s="724"/>
      <c r="P24" s="783"/>
    </row>
    <row r="25" spans="1:16" ht="59" customHeight="1" x14ac:dyDescent="0.25">
      <c r="A25" s="731"/>
      <c r="B25" s="733"/>
      <c r="C25" s="774"/>
      <c r="D25" s="787"/>
      <c r="E25" s="788"/>
      <c r="F25" s="789"/>
      <c r="G25" s="723"/>
      <c r="H25" s="737"/>
      <c r="I25" s="793"/>
      <c r="J25" s="794"/>
      <c r="K25" s="765"/>
      <c r="L25" s="579" t="s">
        <v>44</v>
      </c>
      <c r="M25" s="576"/>
      <c r="N25" s="737"/>
      <c r="O25" s="724"/>
      <c r="P25" s="782"/>
    </row>
    <row r="26" spans="1:16" ht="59" customHeight="1" x14ac:dyDescent="0.25">
      <c r="A26" s="731"/>
      <c r="B26" s="733"/>
      <c r="C26" s="774"/>
      <c r="D26" s="787"/>
      <c r="E26" s="788"/>
      <c r="F26" s="789"/>
      <c r="G26" s="723"/>
      <c r="H26" s="737"/>
      <c r="I26" s="793"/>
      <c r="J26" s="794"/>
      <c r="K26" s="766"/>
      <c r="L26" s="579" t="s">
        <v>45</v>
      </c>
      <c r="M26" s="577"/>
      <c r="N26" s="737"/>
      <c r="O26" s="724"/>
      <c r="P26" s="783"/>
    </row>
    <row r="27" spans="1:16" ht="59" customHeight="1" x14ac:dyDescent="0.25">
      <c r="A27" s="731"/>
      <c r="B27" s="733"/>
      <c r="C27" s="774"/>
      <c r="D27" s="787"/>
      <c r="E27" s="788"/>
      <c r="F27" s="789"/>
      <c r="G27" s="723"/>
      <c r="H27" s="737"/>
      <c r="I27" s="793"/>
      <c r="J27" s="794"/>
      <c r="K27" s="767"/>
      <c r="L27" s="579" t="s">
        <v>46</v>
      </c>
      <c r="M27" s="578"/>
      <c r="N27" s="737"/>
      <c r="O27" s="724"/>
      <c r="P27" s="783"/>
    </row>
    <row r="28" spans="1:16" ht="59" customHeight="1" x14ac:dyDescent="0.25">
      <c r="A28" s="731"/>
      <c r="B28" s="733"/>
      <c r="C28" s="759"/>
      <c r="D28" s="762"/>
      <c r="E28" s="763"/>
      <c r="F28" s="727"/>
      <c r="G28" s="763"/>
      <c r="H28" s="763"/>
      <c r="I28" s="763"/>
      <c r="J28" s="764"/>
      <c r="K28" s="790"/>
      <c r="L28" s="580" t="s">
        <v>44</v>
      </c>
      <c r="M28" s="584"/>
      <c r="N28" s="737"/>
      <c r="O28" s="724"/>
      <c r="P28" s="782"/>
    </row>
    <row r="29" spans="1:16" ht="59" customHeight="1" x14ac:dyDescent="0.25">
      <c r="A29" s="731"/>
      <c r="B29" s="733"/>
      <c r="C29" s="760"/>
      <c r="D29" s="762"/>
      <c r="E29" s="763"/>
      <c r="F29" s="763"/>
      <c r="G29" s="763"/>
      <c r="H29" s="763"/>
      <c r="I29" s="763"/>
      <c r="J29" s="764"/>
      <c r="K29" s="791"/>
      <c r="L29" s="579" t="s">
        <v>45</v>
      </c>
      <c r="M29" s="577"/>
      <c r="N29" s="737"/>
      <c r="O29" s="724"/>
      <c r="P29" s="783"/>
    </row>
    <row r="30" spans="1:16" ht="59" customHeight="1" x14ac:dyDescent="0.25">
      <c r="A30" s="734"/>
      <c r="B30" s="736"/>
      <c r="C30" s="761"/>
      <c r="D30" s="762"/>
      <c r="E30" s="763"/>
      <c r="F30" s="763"/>
      <c r="G30" s="763"/>
      <c r="H30" s="763"/>
      <c r="I30" s="763"/>
      <c r="J30" s="764"/>
      <c r="K30" s="792"/>
      <c r="L30" s="579" t="s">
        <v>46</v>
      </c>
      <c r="M30" s="578"/>
      <c r="N30" s="737"/>
      <c r="O30" s="724"/>
      <c r="P30" s="783"/>
    </row>
    <row r="31" spans="1:16" x14ac:dyDescent="0.25">
      <c r="A31" s="3"/>
      <c r="B31" s="3"/>
    </row>
  </sheetData>
  <mergeCells count="85">
    <mergeCell ref="P22:P24"/>
    <mergeCell ref="A3:P3"/>
    <mergeCell ref="P25:P27"/>
    <mergeCell ref="P28:P30"/>
    <mergeCell ref="P5:P9"/>
    <mergeCell ref="P10:P12"/>
    <mergeCell ref="P13:P15"/>
    <mergeCell ref="P16:P18"/>
    <mergeCell ref="P19:P21"/>
    <mergeCell ref="F16:F18"/>
    <mergeCell ref="F5:F9"/>
    <mergeCell ref="G5:I5"/>
    <mergeCell ref="J5:J9"/>
    <mergeCell ref="K5:K9"/>
    <mergeCell ref="L5:M5"/>
    <mergeCell ref="N5:N9"/>
    <mergeCell ref="A2:D2"/>
    <mergeCell ref="A5:B9"/>
    <mergeCell ref="C5:C9"/>
    <mergeCell ref="D5:D9"/>
    <mergeCell ref="E5:E9"/>
    <mergeCell ref="J13:J15"/>
    <mergeCell ref="K13:K15"/>
    <mergeCell ref="N13:N15"/>
    <mergeCell ref="O5:O9"/>
    <mergeCell ref="C13:C15"/>
    <mergeCell ref="O10:O12"/>
    <mergeCell ref="C10:C12"/>
    <mergeCell ref="D10:D12"/>
    <mergeCell ref="E10:E12"/>
    <mergeCell ref="F10:F12"/>
    <mergeCell ref="G10:I12"/>
    <mergeCell ref="J10:J12"/>
    <mergeCell ref="K10:K12"/>
    <mergeCell ref="N10:N12"/>
    <mergeCell ref="G13:I15"/>
    <mergeCell ref="O13:O15"/>
    <mergeCell ref="C28:C30"/>
    <mergeCell ref="D28:D30"/>
    <mergeCell ref="E28:E30"/>
    <mergeCell ref="F28:F30"/>
    <mergeCell ref="G28:I30"/>
    <mergeCell ref="N22:N24"/>
    <mergeCell ref="N16:N18"/>
    <mergeCell ref="O16:O18"/>
    <mergeCell ref="K16:K18"/>
    <mergeCell ref="G19:I21"/>
    <mergeCell ref="J19:J21"/>
    <mergeCell ref="K19:K21"/>
    <mergeCell ref="N19:N21"/>
    <mergeCell ref="O19:O21"/>
    <mergeCell ref="G16:I18"/>
    <mergeCell ref="J16:J18"/>
    <mergeCell ref="D22:D24"/>
    <mergeCell ref="E22:E24"/>
    <mergeCell ref="F22:F24"/>
    <mergeCell ref="O28:O30"/>
    <mergeCell ref="G22:I24"/>
    <mergeCell ref="O22:O24"/>
    <mergeCell ref="O25:O27"/>
    <mergeCell ref="J28:J30"/>
    <mergeCell ref="K28:K30"/>
    <mergeCell ref="N28:N30"/>
    <mergeCell ref="G25:I27"/>
    <mergeCell ref="J25:J27"/>
    <mergeCell ref="K25:K27"/>
    <mergeCell ref="N25:N27"/>
    <mergeCell ref="J22:J24"/>
    <mergeCell ref="K22:K24"/>
    <mergeCell ref="A10:B30"/>
    <mergeCell ref="C25:C27"/>
    <mergeCell ref="D25:D27"/>
    <mergeCell ref="E25:E27"/>
    <mergeCell ref="F25:F27"/>
    <mergeCell ref="D13:D15"/>
    <mergeCell ref="E13:E15"/>
    <mergeCell ref="F13:F15"/>
    <mergeCell ref="C19:C21"/>
    <mergeCell ref="D19:D21"/>
    <mergeCell ref="E19:E21"/>
    <mergeCell ref="F19:F21"/>
    <mergeCell ref="C16:C18"/>
    <mergeCell ref="D16:D18"/>
    <mergeCell ref="E16:E18"/>
    <mergeCell ref="C22:C24"/>
  </mergeCells>
  <phoneticPr fontId="84" type="noConversion"/>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08
Hoja 4. Indicadores Proceso Planeación Global del Territorio
Página &amp;P de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0FC81-E370-4EB9-819F-BEC071144492}">
  <sheetPr>
    <tabColor rgb="FFFF0000"/>
  </sheetPr>
  <dimension ref="A1:J22"/>
  <sheetViews>
    <sheetView showGridLines="0" topLeftCell="A10" zoomScale="60" zoomScaleNormal="60" workbookViewId="0">
      <selection activeCell="C9" sqref="C9"/>
    </sheetView>
  </sheetViews>
  <sheetFormatPr baseColWidth="10" defaultColWidth="11.453125" defaultRowHeight="13.5" x14ac:dyDescent="0.25"/>
  <cols>
    <col min="1" max="10" width="30.54296875" style="2" customWidth="1"/>
    <col min="11" max="14" width="32.08984375" style="2" customWidth="1"/>
    <col min="15" max="15" width="79" style="2" customWidth="1"/>
    <col min="16" max="16384" width="11.453125" style="2"/>
  </cols>
  <sheetData>
    <row r="1" spans="1:10" x14ac:dyDescent="0.25">
      <c r="A1" s="3"/>
      <c r="B1" s="3"/>
    </row>
    <row r="2" spans="1:10" ht="25.5" customHeight="1" x14ac:dyDescent="0.25">
      <c r="A2" s="810" t="s">
        <v>1200</v>
      </c>
      <c r="B2" s="811"/>
      <c r="C2" s="811"/>
      <c r="D2" s="811"/>
      <c r="E2" s="811"/>
      <c r="F2" s="811"/>
      <c r="G2" s="811"/>
      <c r="H2" s="811"/>
      <c r="I2" s="811"/>
      <c r="J2" s="811"/>
    </row>
    <row r="3" spans="1:10" ht="27" customHeight="1" x14ac:dyDescent="0.25">
      <c r="A3" s="5"/>
    </row>
    <row r="4" spans="1:10" ht="30" customHeight="1" x14ac:dyDescent="0.25">
      <c r="A4" s="812" t="s">
        <v>1187</v>
      </c>
      <c r="B4" s="812"/>
      <c r="C4" s="812"/>
    </row>
    <row r="5" spans="1:10" ht="31.5" customHeight="1" x14ac:dyDescent="0.25">
      <c r="A5" s="669" t="s">
        <v>715</v>
      </c>
      <c r="B5" s="669" t="s">
        <v>1188</v>
      </c>
      <c r="C5" s="669" t="s">
        <v>76</v>
      </c>
      <c r="D5" s="669" t="s">
        <v>252</v>
      </c>
    </row>
    <row r="6" spans="1:10" ht="72" customHeight="1" x14ac:dyDescent="0.25">
      <c r="A6" s="668">
        <v>2018</v>
      </c>
      <c r="B6" s="626">
        <v>1</v>
      </c>
      <c r="C6" s="626">
        <v>1</v>
      </c>
      <c r="D6" s="656">
        <f>+B6/C6</f>
        <v>1</v>
      </c>
    </row>
    <row r="7" spans="1:10" ht="72" customHeight="1" x14ac:dyDescent="0.25">
      <c r="A7" s="668">
        <v>2019</v>
      </c>
      <c r="B7" s="626">
        <v>1</v>
      </c>
      <c r="C7" s="626">
        <v>1</v>
      </c>
      <c r="D7" s="656">
        <f>+B7/C7</f>
        <v>1</v>
      </c>
    </row>
    <row r="8" spans="1:10" ht="72" customHeight="1" x14ac:dyDescent="0.25">
      <c r="A8" s="668">
        <v>2020</v>
      </c>
      <c r="B8" s="626">
        <f>+D14</f>
        <v>1</v>
      </c>
      <c r="C8" s="626">
        <v>1</v>
      </c>
      <c r="D8" s="656">
        <f>+B8/C8</f>
        <v>1</v>
      </c>
    </row>
    <row r="9" spans="1:10" ht="72" customHeight="1" x14ac:dyDescent="0.25">
      <c r="A9" s="668">
        <v>2021</v>
      </c>
      <c r="B9" s="626">
        <f>+D15</f>
        <v>0.44444444444444442</v>
      </c>
      <c r="C9" s="626">
        <v>1</v>
      </c>
      <c r="D9" s="656">
        <f>+B9/C9</f>
        <v>0.44444444444444442</v>
      </c>
    </row>
    <row r="10" spans="1:10" ht="27" customHeight="1" x14ac:dyDescent="0.25">
      <c r="A10" s="5"/>
    </row>
    <row r="11" spans="1:10" ht="115.5" customHeight="1" x14ac:dyDescent="0.25">
      <c r="A11" s="671" t="s">
        <v>715</v>
      </c>
      <c r="B11" s="672" t="s">
        <v>1197</v>
      </c>
      <c r="C11" s="672" t="s">
        <v>1198</v>
      </c>
      <c r="D11" s="672" t="s">
        <v>1199</v>
      </c>
      <c r="E11" s="813" t="s">
        <v>1192</v>
      </c>
      <c r="F11" s="814"/>
      <c r="G11" s="814"/>
      <c r="H11" s="814"/>
      <c r="I11" s="814"/>
      <c r="J11" s="815"/>
    </row>
    <row r="12" spans="1:10" ht="168" customHeight="1" x14ac:dyDescent="0.25">
      <c r="A12" s="670">
        <v>2018</v>
      </c>
      <c r="B12" s="633">
        <v>36</v>
      </c>
      <c r="C12" s="633">
        <v>36</v>
      </c>
      <c r="D12" s="674">
        <f>+B12/C12</f>
        <v>1</v>
      </c>
      <c r="E12" s="804" t="s">
        <v>1201</v>
      </c>
      <c r="F12" s="805"/>
      <c r="G12" s="805"/>
      <c r="H12" s="805"/>
      <c r="I12" s="805"/>
      <c r="J12" s="806"/>
    </row>
    <row r="13" spans="1:10" ht="167.25" customHeight="1" x14ac:dyDescent="0.25">
      <c r="A13" s="670">
        <v>2019</v>
      </c>
      <c r="B13" s="633">
        <v>36</v>
      </c>
      <c r="C13" s="633">
        <v>36</v>
      </c>
      <c r="D13" s="674">
        <f>+B13/C13</f>
        <v>1</v>
      </c>
      <c r="E13" s="804" t="s">
        <v>1202</v>
      </c>
      <c r="F13" s="805"/>
      <c r="G13" s="805"/>
      <c r="H13" s="805"/>
      <c r="I13" s="805"/>
      <c r="J13" s="806"/>
    </row>
    <row r="14" spans="1:10" ht="131.25" customHeight="1" x14ac:dyDescent="0.25">
      <c r="A14" s="670">
        <v>2020</v>
      </c>
      <c r="B14" s="633">
        <v>36</v>
      </c>
      <c r="C14" s="633">
        <v>36</v>
      </c>
      <c r="D14" s="674">
        <f>+B14/C14</f>
        <v>1</v>
      </c>
      <c r="E14" s="804" t="s">
        <v>1204</v>
      </c>
      <c r="F14" s="805"/>
      <c r="G14" s="805"/>
      <c r="H14" s="805"/>
      <c r="I14" s="805"/>
      <c r="J14" s="806"/>
    </row>
    <row r="15" spans="1:10" ht="170.25" customHeight="1" x14ac:dyDescent="0.25">
      <c r="A15" s="670">
        <v>2021</v>
      </c>
      <c r="B15" s="633">
        <v>16</v>
      </c>
      <c r="C15" s="633">
        <v>36</v>
      </c>
      <c r="D15" s="674">
        <f>+B15/C15</f>
        <v>0.44444444444444442</v>
      </c>
      <c r="E15" s="804" t="s">
        <v>1216</v>
      </c>
      <c r="F15" s="805"/>
      <c r="G15" s="805"/>
      <c r="H15" s="805"/>
      <c r="I15" s="805"/>
      <c r="J15" s="806"/>
    </row>
    <row r="18" spans="1:5" ht="55.5" customHeight="1" x14ac:dyDescent="0.25">
      <c r="A18" s="2" t="s">
        <v>1205</v>
      </c>
      <c r="C18" s="807" t="s">
        <v>1206</v>
      </c>
      <c r="D18" s="808"/>
      <c r="E18" s="809"/>
    </row>
    <row r="21" spans="1:5" x14ac:dyDescent="0.25">
      <c r="B21" s="2" t="s">
        <v>1217</v>
      </c>
    </row>
    <row r="22" spans="1:5" x14ac:dyDescent="0.25">
      <c r="B22" s="2" t="s">
        <v>1218</v>
      </c>
    </row>
  </sheetData>
  <mergeCells count="8">
    <mergeCell ref="E15:J15"/>
    <mergeCell ref="C18:E18"/>
    <mergeCell ref="A2:J2"/>
    <mergeCell ref="A4:C4"/>
    <mergeCell ref="E11:J11"/>
    <mergeCell ref="E12:J12"/>
    <mergeCell ref="E13:J13"/>
    <mergeCell ref="E14:J14"/>
  </mergeCells>
  <hyperlinks>
    <hyperlink ref="A2:J2" location="'Hoja 4. PG'!A1" display="4. PORCENTAJE (%) DE CUMPLIMIENTO DE METAS DE INDICADORES MÍNIMOS DE GESTIÓN " xr:uid="{8C553A4C-B3D1-495B-8090-6AC4AE63CA0F}"/>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07
Hoja 4. Indicadores Proceso Planeación Global del Territorio.
Página &amp;P de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A18E9-48C9-46CD-98E1-0DEE879B8614}">
  <sheetPr>
    <tabColor rgb="FFFF0000"/>
  </sheetPr>
  <dimension ref="A1:J18"/>
  <sheetViews>
    <sheetView showGridLines="0" topLeftCell="A10" zoomScale="60" zoomScaleNormal="60" workbookViewId="0">
      <selection activeCell="C15" sqref="C15"/>
    </sheetView>
  </sheetViews>
  <sheetFormatPr baseColWidth="10" defaultColWidth="11.453125" defaultRowHeight="13.5" x14ac:dyDescent="0.25"/>
  <cols>
    <col min="1" max="4" width="34" style="2" customWidth="1"/>
    <col min="5" max="10" width="32" style="2" customWidth="1"/>
    <col min="11" max="11" width="29.6328125" style="2" customWidth="1"/>
    <col min="12" max="15" width="32.08984375" style="2" customWidth="1"/>
    <col min="16" max="16" width="79" style="2" customWidth="1"/>
    <col min="17" max="16384" width="11.453125" style="2"/>
  </cols>
  <sheetData>
    <row r="1" spans="1:10" x14ac:dyDescent="0.25">
      <c r="A1" s="3"/>
    </row>
    <row r="3" spans="1:10" ht="25.5" customHeight="1" x14ac:dyDescent="0.25">
      <c r="A3" s="810" t="s">
        <v>1189</v>
      </c>
      <c r="B3" s="811"/>
      <c r="C3" s="811"/>
      <c r="D3" s="811"/>
      <c r="E3" s="811"/>
      <c r="F3" s="811"/>
      <c r="G3" s="811"/>
      <c r="H3" s="811"/>
      <c r="I3" s="811"/>
      <c r="J3" s="811"/>
    </row>
    <row r="4" spans="1:10" x14ac:dyDescent="0.25">
      <c r="A4" s="5"/>
    </row>
    <row r="5" spans="1:10" ht="30" customHeight="1" x14ac:dyDescent="0.25">
      <c r="A5" s="812" t="s">
        <v>1187</v>
      </c>
      <c r="B5" s="812"/>
      <c r="C5" s="812"/>
    </row>
    <row r="6" spans="1:10" ht="31.5" customHeight="1" x14ac:dyDescent="0.25">
      <c r="A6" s="669" t="s">
        <v>715</v>
      </c>
      <c r="B6" s="669" t="s">
        <v>1188</v>
      </c>
      <c r="C6" s="669" t="s">
        <v>76</v>
      </c>
      <c r="D6" s="669" t="s">
        <v>252</v>
      </c>
    </row>
    <row r="7" spans="1:10" ht="72" customHeight="1" x14ac:dyDescent="0.25">
      <c r="A7" s="668">
        <v>2019</v>
      </c>
      <c r="B7" s="626">
        <v>1</v>
      </c>
      <c r="C7" s="626">
        <v>1</v>
      </c>
      <c r="D7" s="626">
        <v>1</v>
      </c>
    </row>
    <row r="8" spans="1:10" ht="72" customHeight="1" x14ac:dyDescent="0.25">
      <c r="A8" s="668">
        <v>2020</v>
      </c>
      <c r="B8" s="626">
        <f>+E14</f>
        <v>1</v>
      </c>
      <c r="C8" s="626">
        <v>1</v>
      </c>
      <c r="D8" s="626">
        <v>1</v>
      </c>
    </row>
    <row r="9" spans="1:10" ht="72" customHeight="1" x14ac:dyDescent="0.25">
      <c r="A9" s="668">
        <v>2021</v>
      </c>
      <c r="B9" s="627"/>
      <c r="C9" s="626">
        <v>1</v>
      </c>
      <c r="D9" s="626">
        <v>1</v>
      </c>
    </row>
    <row r="10" spans="1:10" ht="27" customHeight="1" x14ac:dyDescent="0.25">
      <c r="A10" s="5"/>
    </row>
    <row r="12" spans="1:10" ht="132" customHeight="1" x14ac:dyDescent="0.25">
      <c r="A12" s="671" t="s">
        <v>715</v>
      </c>
      <c r="B12" s="672" t="s">
        <v>1196</v>
      </c>
      <c r="C12" s="672" t="s">
        <v>1194</v>
      </c>
      <c r="D12" s="672" t="s">
        <v>1193</v>
      </c>
      <c r="E12" s="672" t="s">
        <v>1195</v>
      </c>
      <c r="F12" s="813" t="s">
        <v>1192</v>
      </c>
      <c r="G12" s="814"/>
      <c r="H12" s="814"/>
      <c r="I12" s="814"/>
      <c r="J12" s="815"/>
    </row>
    <row r="13" spans="1:10" ht="51.75" customHeight="1" x14ac:dyDescent="0.25">
      <c r="A13" s="670">
        <v>2019</v>
      </c>
      <c r="B13" s="633">
        <v>1</v>
      </c>
      <c r="C13" s="633">
        <v>1</v>
      </c>
      <c r="D13" s="674">
        <v>1</v>
      </c>
      <c r="E13" s="673">
        <f>+(B13/C13)/D13</f>
        <v>1</v>
      </c>
      <c r="F13" s="816" t="s">
        <v>1203</v>
      </c>
      <c r="G13" s="805"/>
      <c r="H13" s="805"/>
      <c r="I13" s="805"/>
      <c r="J13" s="806"/>
    </row>
    <row r="14" spans="1:10" ht="51.75" customHeight="1" x14ac:dyDescent="0.25">
      <c r="A14" s="670">
        <v>2020</v>
      </c>
      <c r="B14" s="633">
        <v>1</v>
      </c>
      <c r="C14" s="633">
        <v>1</v>
      </c>
      <c r="D14" s="674">
        <v>1</v>
      </c>
      <c r="E14" s="673">
        <f>+(B14/C14)/D14</f>
        <v>1</v>
      </c>
      <c r="F14" s="816" t="s">
        <v>1207</v>
      </c>
      <c r="G14" s="805"/>
      <c r="H14" s="805"/>
      <c r="I14" s="805"/>
      <c r="J14" s="806"/>
    </row>
    <row r="15" spans="1:10" ht="51.75" customHeight="1" x14ac:dyDescent="0.25">
      <c r="A15" s="670">
        <v>2021</v>
      </c>
      <c r="B15" s="633">
        <v>0</v>
      </c>
      <c r="C15" s="633">
        <v>1</v>
      </c>
      <c r="D15" s="674">
        <v>1</v>
      </c>
      <c r="E15" s="673">
        <f>+(B15/C15)/D15</f>
        <v>0</v>
      </c>
      <c r="F15" s="804" t="s">
        <v>1219</v>
      </c>
      <c r="G15" s="805"/>
      <c r="H15" s="805"/>
      <c r="I15" s="805"/>
      <c r="J15" s="806"/>
    </row>
    <row r="17" spans="2:2" x14ac:dyDescent="0.25">
      <c r="B17" s="2" t="s">
        <v>1217</v>
      </c>
    </row>
    <row r="18" spans="2:2" x14ac:dyDescent="0.25">
      <c r="B18" s="2" t="s">
        <v>1218</v>
      </c>
    </row>
  </sheetData>
  <mergeCells count="6">
    <mergeCell ref="F15:J15"/>
    <mergeCell ref="A3:J3"/>
    <mergeCell ref="A5:C5"/>
    <mergeCell ref="F12:J12"/>
    <mergeCell ref="F13:J13"/>
    <mergeCell ref="F14:J14"/>
  </mergeCells>
  <hyperlinks>
    <hyperlink ref="A3:J3" location="'Hoja 4. PG'!A1" display="7. PORCENTAJE (%) DE CUMPLIMIENTO POR PROCESO DE LA META MADS DEL INDICE DE EVALUACIÓN DE DESEMPEÑO INSTITUCIONAL -IEDI" xr:uid="{10EB983A-6A06-4ADC-ACCA-6B520A83BA62}"/>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07
Hoja 4. Indicadores Proceso Planeación Global del Territorio.
Página &amp;P de &amp;N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9" tint="-0.249977111117893"/>
  </sheetPr>
  <dimension ref="A2:P34"/>
  <sheetViews>
    <sheetView showGridLines="0" zoomScale="40" zoomScaleNormal="40" workbookViewId="0">
      <selection activeCell="P10" sqref="P10:P33"/>
    </sheetView>
  </sheetViews>
  <sheetFormatPr baseColWidth="10" defaultColWidth="11.453125" defaultRowHeight="13.5" x14ac:dyDescent="0.25"/>
  <cols>
    <col min="1" max="2" width="12.453125" style="2" customWidth="1"/>
    <col min="3" max="3" width="18.90625" style="2" customWidth="1"/>
    <col min="4" max="4" width="24.453125" style="2" customWidth="1"/>
    <col min="5" max="5" width="29" style="2" customWidth="1"/>
    <col min="6" max="6" width="24.08984375" style="2" customWidth="1"/>
    <col min="7" max="7" width="14.54296875" style="2" customWidth="1"/>
    <col min="8" max="8" width="21.36328125" style="2" customWidth="1"/>
    <col min="9" max="9" width="16.6328125" style="2" customWidth="1"/>
    <col min="10" max="10" width="16" style="2" customWidth="1"/>
    <col min="11" max="11" width="15" style="2" customWidth="1"/>
    <col min="12" max="12" width="25.36328125" style="2" customWidth="1"/>
    <col min="13" max="13" width="42.6328125" style="2" customWidth="1"/>
    <col min="14" max="14" width="18.453125" style="2" customWidth="1"/>
    <col min="15" max="15" width="21" style="2" customWidth="1"/>
    <col min="16" max="16" width="28.54296875" style="2" customWidth="1"/>
    <col min="17" max="16384" width="11.453125" style="2"/>
  </cols>
  <sheetData>
    <row r="2" spans="1:16" ht="64.5" customHeight="1" x14ac:dyDescent="0.25">
      <c r="A2" s="744"/>
      <c r="B2" s="744"/>
      <c r="C2" s="744"/>
      <c r="D2" s="744"/>
      <c r="E2" s="9"/>
      <c r="F2" s="9"/>
      <c r="G2" s="9"/>
      <c r="H2" s="9"/>
      <c r="I2" s="9"/>
      <c r="J2" s="9"/>
      <c r="K2" s="9"/>
      <c r="L2" s="9"/>
      <c r="M2" s="9"/>
      <c r="N2" s="9"/>
      <c r="O2" s="9"/>
    </row>
    <row r="3" spans="1:16" ht="27.75" customHeight="1" x14ac:dyDescent="0.25">
      <c r="A3" s="822" t="s">
        <v>22</v>
      </c>
      <c r="B3" s="823"/>
      <c r="C3" s="823"/>
      <c r="D3" s="823"/>
      <c r="E3" s="823"/>
      <c r="F3" s="823"/>
      <c r="G3" s="823"/>
      <c r="H3" s="823"/>
      <c r="I3" s="823"/>
      <c r="J3" s="823"/>
      <c r="K3" s="823"/>
      <c r="L3" s="823"/>
      <c r="M3" s="823"/>
      <c r="N3" s="823"/>
      <c r="O3" s="823"/>
      <c r="P3" s="823"/>
    </row>
    <row r="5" spans="1:16" s="4" customFormat="1" ht="48.75" customHeight="1" x14ac:dyDescent="0.35">
      <c r="A5" s="799" t="s">
        <v>0</v>
      </c>
      <c r="B5" s="799"/>
      <c r="C5" s="799" t="s">
        <v>26</v>
      </c>
      <c r="D5" s="799" t="s">
        <v>1</v>
      </c>
      <c r="E5" s="799" t="s">
        <v>2</v>
      </c>
      <c r="F5" s="799" t="s">
        <v>3</v>
      </c>
      <c r="G5" s="799" t="s">
        <v>1185</v>
      </c>
      <c r="H5" s="799"/>
      <c r="I5" s="799"/>
      <c r="J5" s="797" t="s">
        <v>4</v>
      </c>
      <c r="K5" s="797" t="s">
        <v>5</v>
      </c>
      <c r="L5" s="802" t="s">
        <v>1186</v>
      </c>
      <c r="M5" s="803"/>
      <c r="N5" s="797" t="s">
        <v>6</v>
      </c>
      <c r="O5" s="797" t="s">
        <v>7</v>
      </c>
      <c r="P5" s="754" t="s">
        <v>1222</v>
      </c>
    </row>
    <row r="6" spans="1:16" s="4" customFormat="1" ht="49.5" customHeight="1" x14ac:dyDescent="0.35">
      <c r="A6" s="799"/>
      <c r="B6" s="799"/>
      <c r="C6" s="799"/>
      <c r="D6" s="799"/>
      <c r="E6" s="799"/>
      <c r="F6" s="799"/>
      <c r="G6" s="634" t="s">
        <v>31</v>
      </c>
      <c r="H6" s="634" t="s">
        <v>32</v>
      </c>
      <c r="I6" s="634" t="s">
        <v>43</v>
      </c>
      <c r="J6" s="798"/>
      <c r="K6" s="798"/>
      <c r="L6" s="634" t="s">
        <v>47</v>
      </c>
      <c r="M6" s="634" t="s">
        <v>48</v>
      </c>
      <c r="N6" s="798"/>
      <c r="O6" s="798"/>
      <c r="P6" s="755"/>
    </row>
    <row r="7" spans="1:16" s="4" customFormat="1" ht="62.25" customHeight="1" x14ac:dyDescent="0.35">
      <c r="A7" s="799"/>
      <c r="B7" s="799"/>
      <c r="C7" s="799"/>
      <c r="D7" s="799"/>
      <c r="E7" s="799"/>
      <c r="F7" s="799"/>
      <c r="G7" s="639" t="s">
        <v>35</v>
      </c>
      <c r="H7" s="640" t="s">
        <v>37</v>
      </c>
      <c r="I7" s="639" t="s">
        <v>40</v>
      </c>
      <c r="J7" s="798"/>
      <c r="K7" s="798"/>
      <c r="L7" s="572" t="s">
        <v>44</v>
      </c>
      <c r="M7" s="640" t="s">
        <v>52</v>
      </c>
      <c r="N7" s="798"/>
      <c r="O7" s="798"/>
      <c r="P7" s="755"/>
    </row>
    <row r="8" spans="1:16" s="4" customFormat="1" ht="67.5" customHeight="1" x14ac:dyDescent="0.35">
      <c r="A8" s="799"/>
      <c r="B8" s="799"/>
      <c r="C8" s="799"/>
      <c r="D8" s="799"/>
      <c r="E8" s="799"/>
      <c r="F8" s="799"/>
      <c r="G8" s="639" t="s">
        <v>34</v>
      </c>
      <c r="H8" s="640" t="s">
        <v>38</v>
      </c>
      <c r="I8" s="639" t="s">
        <v>41</v>
      </c>
      <c r="J8" s="798"/>
      <c r="K8" s="798"/>
      <c r="L8" s="573" t="s">
        <v>45</v>
      </c>
      <c r="M8" s="640" t="s">
        <v>50</v>
      </c>
      <c r="N8" s="798"/>
      <c r="O8" s="798"/>
      <c r="P8" s="755"/>
    </row>
    <row r="9" spans="1:16" s="4" customFormat="1" ht="76.5" customHeight="1" x14ac:dyDescent="0.35">
      <c r="A9" s="799"/>
      <c r="B9" s="799"/>
      <c r="C9" s="799"/>
      <c r="D9" s="799"/>
      <c r="E9" s="799"/>
      <c r="F9" s="799"/>
      <c r="G9" s="639" t="s">
        <v>36</v>
      </c>
      <c r="H9" s="640" t="s">
        <v>39</v>
      </c>
      <c r="I9" s="639" t="s">
        <v>42</v>
      </c>
      <c r="J9" s="798"/>
      <c r="K9" s="798"/>
      <c r="L9" s="585" t="s">
        <v>46</v>
      </c>
      <c r="M9" s="636" t="s">
        <v>51</v>
      </c>
      <c r="N9" s="798"/>
      <c r="O9" s="798"/>
      <c r="P9" s="756"/>
    </row>
    <row r="10" spans="1:16" ht="61.5" customHeight="1" x14ac:dyDescent="0.25">
      <c r="A10" s="728"/>
      <c r="B10" s="730"/>
      <c r="C10" s="774"/>
      <c r="D10" s="762"/>
      <c r="E10" s="775"/>
      <c r="F10" s="773"/>
      <c r="G10" s="763"/>
      <c r="H10" s="763"/>
      <c r="I10" s="763"/>
      <c r="J10" s="819"/>
      <c r="K10" s="795"/>
      <c r="L10" s="586" t="s">
        <v>44</v>
      </c>
      <c r="M10" s="587"/>
      <c r="N10" s="737"/>
      <c r="O10" s="737"/>
      <c r="P10" s="824"/>
    </row>
    <row r="11" spans="1:16" ht="61.5" customHeight="1" x14ac:dyDescent="0.25">
      <c r="A11" s="731"/>
      <c r="B11" s="733"/>
      <c r="C11" s="774"/>
      <c r="D11" s="762"/>
      <c r="E11" s="775"/>
      <c r="F11" s="773"/>
      <c r="G11" s="763"/>
      <c r="H11" s="763"/>
      <c r="I11" s="763"/>
      <c r="J11" s="819"/>
      <c r="K11" s="766"/>
      <c r="L11" s="586" t="s">
        <v>45</v>
      </c>
      <c r="M11" s="588"/>
      <c r="N11" s="737"/>
      <c r="O11" s="737"/>
      <c r="P11" s="825"/>
    </row>
    <row r="12" spans="1:16" ht="61.5" customHeight="1" x14ac:dyDescent="0.25">
      <c r="A12" s="731"/>
      <c r="B12" s="733"/>
      <c r="C12" s="774"/>
      <c r="D12" s="762"/>
      <c r="E12" s="775"/>
      <c r="F12" s="773"/>
      <c r="G12" s="763"/>
      <c r="H12" s="763"/>
      <c r="I12" s="763"/>
      <c r="J12" s="819"/>
      <c r="K12" s="767"/>
      <c r="L12" s="586" t="s">
        <v>46</v>
      </c>
      <c r="M12" s="589"/>
      <c r="N12" s="737"/>
      <c r="O12" s="737"/>
      <c r="P12" s="826"/>
    </row>
    <row r="13" spans="1:16" ht="61.5" customHeight="1" x14ac:dyDescent="0.25">
      <c r="A13" s="731"/>
      <c r="B13" s="733"/>
      <c r="C13" s="774"/>
      <c r="D13" s="762"/>
      <c r="E13" s="828"/>
      <c r="F13" s="763"/>
      <c r="G13" s="763"/>
      <c r="H13" s="763"/>
      <c r="I13" s="763"/>
      <c r="J13" s="819"/>
      <c r="K13" s="765"/>
      <c r="L13" s="586" t="s">
        <v>44</v>
      </c>
      <c r="M13" s="587"/>
      <c r="N13" s="737"/>
      <c r="O13" s="737"/>
      <c r="P13" s="824"/>
    </row>
    <row r="14" spans="1:16" ht="61.5" customHeight="1" x14ac:dyDescent="0.25">
      <c r="A14" s="731"/>
      <c r="B14" s="733"/>
      <c r="C14" s="774"/>
      <c r="D14" s="762"/>
      <c r="E14" s="828"/>
      <c r="F14" s="763"/>
      <c r="G14" s="763"/>
      <c r="H14" s="763"/>
      <c r="I14" s="763"/>
      <c r="J14" s="819"/>
      <c r="K14" s="766"/>
      <c r="L14" s="586" t="s">
        <v>45</v>
      </c>
      <c r="M14" s="588"/>
      <c r="N14" s="737"/>
      <c r="O14" s="737"/>
      <c r="P14" s="825"/>
    </row>
    <row r="15" spans="1:16" ht="95" customHeight="1" x14ac:dyDescent="0.25">
      <c r="A15" s="731"/>
      <c r="B15" s="733"/>
      <c r="C15" s="774"/>
      <c r="D15" s="762"/>
      <c r="E15" s="828"/>
      <c r="F15" s="763"/>
      <c r="G15" s="763"/>
      <c r="H15" s="763"/>
      <c r="I15" s="763"/>
      <c r="J15" s="819"/>
      <c r="K15" s="767"/>
      <c r="L15" s="586" t="s">
        <v>46</v>
      </c>
      <c r="M15" s="589"/>
      <c r="N15" s="737"/>
      <c r="O15" s="737"/>
      <c r="P15" s="826"/>
    </row>
    <row r="16" spans="1:16" ht="61.5" customHeight="1" x14ac:dyDescent="0.25">
      <c r="A16" s="731"/>
      <c r="B16" s="733"/>
      <c r="C16" s="759"/>
      <c r="D16" s="787"/>
      <c r="E16" s="789"/>
      <c r="F16" s="789"/>
      <c r="G16" s="737"/>
      <c r="H16" s="737"/>
      <c r="I16" s="737"/>
      <c r="J16" s="817"/>
      <c r="K16" s="820"/>
      <c r="L16" s="586" t="s">
        <v>44</v>
      </c>
      <c r="M16" s="643"/>
      <c r="N16" s="737"/>
      <c r="O16" s="724"/>
      <c r="P16" s="824"/>
    </row>
    <row r="17" spans="1:16" ht="61.5" customHeight="1" x14ac:dyDescent="0.25">
      <c r="A17" s="731"/>
      <c r="B17" s="733"/>
      <c r="C17" s="760"/>
      <c r="D17" s="787"/>
      <c r="E17" s="789"/>
      <c r="F17" s="789"/>
      <c r="G17" s="737"/>
      <c r="H17" s="737"/>
      <c r="I17" s="737"/>
      <c r="J17" s="817"/>
      <c r="K17" s="791"/>
      <c r="L17" s="586" t="s">
        <v>45</v>
      </c>
      <c r="M17" s="588"/>
      <c r="N17" s="737"/>
      <c r="O17" s="724"/>
      <c r="P17" s="825"/>
    </row>
    <row r="18" spans="1:16" ht="61.5" customHeight="1" x14ac:dyDescent="0.25">
      <c r="A18" s="731"/>
      <c r="B18" s="733"/>
      <c r="C18" s="761"/>
      <c r="D18" s="787"/>
      <c r="E18" s="789"/>
      <c r="F18" s="789"/>
      <c r="G18" s="737"/>
      <c r="H18" s="737"/>
      <c r="I18" s="737"/>
      <c r="J18" s="817"/>
      <c r="K18" s="792"/>
      <c r="L18" s="586" t="s">
        <v>46</v>
      </c>
      <c r="M18" s="589"/>
      <c r="N18" s="737"/>
      <c r="O18" s="724"/>
      <c r="P18" s="826"/>
    </row>
    <row r="19" spans="1:16" ht="61.5" customHeight="1" x14ac:dyDescent="0.25">
      <c r="A19" s="731"/>
      <c r="B19" s="733"/>
      <c r="C19" s="759"/>
      <c r="D19" s="762"/>
      <c r="E19" s="773"/>
      <c r="F19" s="776"/>
      <c r="G19" s="763"/>
      <c r="H19" s="763"/>
      <c r="I19" s="763"/>
      <c r="J19" s="764"/>
      <c r="K19" s="821"/>
      <c r="L19" s="644" t="s">
        <v>44</v>
      </c>
      <c r="M19" s="576"/>
      <c r="N19" s="737"/>
      <c r="O19" s="724"/>
      <c r="P19" s="827"/>
    </row>
    <row r="20" spans="1:16" ht="61.5" customHeight="1" x14ac:dyDescent="0.25">
      <c r="A20" s="731"/>
      <c r="B20" s="733"/>
      <c r="C20" s="760"/>
      <c r="D20" s="762"/>
      <c r="E20" s="773"/>
      <c r="F20" s="773"/>
      <c r="G20" s="763"/>
      <c r="H20" s="763"/>
      <c r="I20" s="763"/>
      <c r="J20" s="764"/>
      <c r="K20" s="821"/>
      <c r="L20" s="645" t="s">
        <v>45</v>
      </c>
      <c r="M20" s="577"/>
      <c r="N20" s="737"/>
      <c r="O20" s="724"/>
      <c r="P20" s="827"/>
    </row>
    <row r="21" spans="1:16" ht="61.5" customHeight="1" x14ac:dyDescent="0.25">
      <c r="A21" s="731"/>
      <c r="B21" s="733"/>
      <c r="C21" s="761"/>
      <c r="D21" s="762"/>
      <c r="E21" s="773"/>
      <c r="F21" s="773"/>
      <c r="G21" s="763"/>
      <c r="H21" s="763"/>
      <c r="I21" s="763"/>
      <c r="J21" s="764"/>
      <c r="K21" s="821"/>
      <c r="L21" s="645" t="s">
        <v>46</v>
      </c>
      <c r="M21" s="578"/>
      <c r="N21" s="737"/>
      <c r="O21" s="724"/>
      <c r="P21" s="827"/>
    </row>
    <row r="22" spans="1:16" ht="61.5" customHeight="1" x14ac:dyDescent="0.25">
      <c r="A22" s="731"/>
      <c r="B22" s="733"/>
      <c r="C22" s="759"/>
      <c r="D22" s="787"/>
      <c r="E22" s="737"/>
      <c r="F22" s="740"/>
      <c r="G22" s="737"/>
      <c r="H22" s="737"/>
      <c r="I22" s="737"/>
      <c r="J22" s="796"/>
      <c r="K22" s="795"/>
      <c r="L22" s="575" t="s">
        <v>44</v>
      </c>
      <c r="M22" s="576"/>
      <c r="N22" s="737"/>
      <c r="O22" s="724"/>
      <c r="P22" s="782"/>
    </row>
    <row r="23" spans="1:16" ht="61.5" customHeight="1" x14ac:dyDescent="0.25">
      <c r="A23" s="731"/>
      <c r="B23" s="733"/>
      <c r="C23" s="760"/>
      <c r="D23" s="787"/>
      <c r="E23" s="737"/>
      <c r="F23" s="737"/>
      <c r="G23" s="737"/>
      <c r="H23" s="737"/>
      <c r="I23" s="737"/>
      <c r="J23" s="796"/>
      <c r="K23" s="766"/>
      <c r="L23" s="575" t="s">
        <v>45</v>
      </c>
      <c r="M23" s="577"/>
      <c r="N23" s="737"/>
      <c r="O23" s="724"/>
      <c r="P23" s="783"/>
    </row>
    <row r="24" spans="1:16" ht="61.5" customHeight="1" x14ac:dyDescent="0.25">
      <c r="A24" s="731"/>
      <c r="B24" s="733"/>
      <c r="C24" s="761"/>
      <c r="D24" s="787"/>
      <c r="E24" s="737"/>
      <c r="F24" s="737"/>
      <c r="G24" s="737"/>
      <c r="H24" s="737"/>
      <c r="I24" s="737"/>
      <c r="J24" s="796"/>
      <c r="K24" s="767"/>
      <c r="L24" s="628" t="s">
        <v>46</v>
      </c>
      <c r="M24" s="578"/>
      <c r="N24" s="737"/>
      <c r="O24" s="724"/>
      <c r="P24" s="783"/>
    </row>
    <row r="25" spans="1:16" ht="61.5" customHeight="1" x14ac:dyDescent="0.25">
      <c r="A25" s="731"/>
      <c r="B25" s="733"/>
      <c r="C25" s="774"/>
      <c r="D25" s="787"/>
      <c r="E25" s="788"/>
      <c r="F25" s="789"/>
      <c r="G25" s="723"/>
      <c r="H25" s="737"/>
      <c r="I25" s="793"/>
      <c r="J25" s="794"/>
      <c r="K25" s="795"/>
      <c r="L25" s="575" t="s">
        <v>44</v>
      </c>
      <c r="M25" s="576"/>
      <c r="N25" s="737"/>
      <c r="O25" s="724"/>
      <c r="P25" s="782"/>
    </row>
    <row r="26" spans="1:16" ht="61.5" customHeight="1" x14ac:dyDescent="0.25">
      <c r="A26" s="731"/>
      <c r="B26" s="733"/>
      <c r="C26" s="774"/>
      <c r="D26" s="787"/>
      <c r="E26" s="788"/>
      <c r="F26" s="789"/>
      <c r="G26" s="723"/>
      <c r="H26" s="737"/>
      <c r="I26" s="793"/>
      <c r="J26" s="794"/>
      <c r="K26" s="766"/>
      <c r="L26" s="575" t="s">
        <v>45</v>
      </c>
      <c r="M26" s="577"/>
      <c r="N26" s="737"/>
      <c r="O26" s="724"/>
      <c r="P26" s="783"/>
    </row>
    <row r="27" spans="1:16" ht="61.5" customHeight="1" x14ac:dyDescent="0.25">
      <c r="A27" s="731"/>
      <c r="B27" s="733"/>
      <c r="C27" s="774"/>
      <c r="D27" s="787"/>
      <c r="E27" s="788"/>
      <c r="F27" s="789"/>
      <c r="G27" s="723"/>
      <c r="H27" s="737"/>
      <c r="I27" s="793"/>
      <c r="J27" s="794"/>
      <c r="K27" s="767"/>
      <c r="L27" s="628" t="s">
        <v>46</v>
      </c>
      <c r="M27" s="578"/>
      <c r="N27" s="737"/>
      <c r="O27" s="724"/>
      <c r="P27" s="783"/>
    </row>
    <row r="28" spans="1:16" ht="61.5" customHeight="1" x14ac:dyDescent="0.25">
      <c r="A28" s="731"/>
      <c r="B28" s="733"/>
      <c r="C28" s="759"/>
      <c r="D28" s="787"/>
      <c r="E28" s="737"/>
      <c r="F28" s="740"/>
      <c r="G28" s="737"/>
      <c r="H28" s="737"/>
      <c r="I28" s="737"/>
      <c r="J28" s="796"/>
      <c r="K28" s="818"/>
      <c r="L28" s="580" t="s">
        <v>44</v>
      </c>
      <c r="M28" s="584"/>
      <c r="N28" s="737"/>
      <c r="O28" s="724"/>
      <c r="P28" s="782"/>
    </row>
    <row r="29" spans="1:16" ht="61.5" customHeight="1" x14ac:dyDescent="0.25">
      <c r="A29" s="731"/>
      <c r="B29" s="733"/>
      <c r="C29" s="760"/>
      <c r="D29" s="787"/>
      <c r="E29" s="737"/>
      <c r="F29" s="737"/>
      <c r="G29" s="737"/>
      <c r="H29" s="737"/>
      <c r="I29" s="737"/>
      <c r="J29" s="796"/>
      <c r="K29" s="791"/>
      <c r="L29" s="579" t="s">
        <v>45</v>
      </c>
      <c r="M29" s="577"/>
      <c r="N29" s="737"/>
      <c r="O29" s="724"/>
      <c r="P29" s="783"/>
    </row>
    <row r="30" spans="1:16" ht="61.5" customHeight="1" x14ac:dyDescent="0.25">
      <c r="A30" s="731"/>
      <c r="B30" s="733"/>
      <c r="C30" s="761"/>
      <c r="D30" s="787"/>
      <c r="E30" s="737"/>
      <c r="F30" s="737"/>
      <c r="G30" s="737"/>
      <c r="H30" s="737"/>
      <c r="I30" s="737"/>
      <c r="J30" s="796"/>
      <c r="K30" s="792"/>
      <c r="L30" s="579" t="s">
        <v>46</v>
      </c>
      <c r="M30" s="578"/>
      <c r="N30" s="737"/>
      <c r="O30" s="724"/>
      <c r="P30" s="783"/>
    </row>
    <row r="31" spans="1:16" ht="61.5" customHeight="1" x14ac:dyDescent="0.25">
      <c r="A31" s="731"/>
      <c r="B31" s="733"/>
      <c r="C31" s="759"/>
      <c r="D31" s="787"/>
      <c r="E31" s="737"/>
      <c r="F31" s="740"/>
      <c r="G31" s="737"/>
      <c r="H31" s="737"/>
      <c r="I31" s="737"/>
      <c r="J31" s="796"/>
      <c r="K31" s="765"/>
      <c r="L31" s="580" t="s">
        <v>44</v>
      </c>
      <c r="M31" s="576"/>
      <c r="N31" s="737"/>
      <c r="O31" s="724"/>
      <c r="P31" s="782"/>
    </row>
    <row r="32" spans="1:16" ht="61.5" customHeight="1" x14ac:dyDescent="0.25">
      <c r="A32" s="731"/>
      <c r="B32" s="733"/>
      <c r="C32" s="760"/>
      <c r="D32" s="787"/>
      <c r="E32" s="737"/>
      <c r="F32" s="737"/>
      <c r="G32" s="737"/>
      <c r="H32" s="737"/>
      <c r="I32" s="737"/>
      <c r="J32" s="796"/>
      <c r="K32" s="766"/>
      <c r="L32" s="579" t="s">
        <v>45</v>
      </c>
      <c r="M32" s="577"/>
      <c r="N32" s="737"/>
      <c r="O32" s="724"/>
      <c r="P32" s="783"/>
    </row>
    <row r="33" spans="1:16" ht="61.5" customHeight="1" x14ac:dyDescent="0.25">
      <c r="A33" s="734"/>
      <c r="B33" s="736"/>
      <c r="C33" s="761"/>
      <c r="D33" s="787"/>
      <c r="E33" s="737"/>
      <c r="F33" s="737"/>
      <c r="G33" s="737"/>
      <c r="H33" s="737"/>
      <c r="I33" s="737"/>
      <c r="J33" s="796"/>
      <c r="K33" s="767"/>
      <c r="L33" s="579" t="s">
        <v>46</v>
      </c>
      <c r="M33" s="578"/>
      <c r="N33" s="737"/>
      <c r="O33" s="724"/>
      <c r="P33" s="783"/>
    </row>
    <row r="34" spans="1:16" ht="38.25" customHeight="1" x14ac:dyDescent="0.25">
      <c r="A34" s="3"/>
      <c r="B34" s="3"/>
    </row>
  </sheetData>
  <mergeCells count="95">
    <mergeCell ref="P22:P24"/>
    <mergeCell ref="A3:P3"/>
    <mergeCell ref="P25:P27"/>
    <mergeCell ref="P28:P30"/>
    <mergeCell ref="P31:P33"/>
    <mergeCell ref="P5:P9"/>
    <mergeCell ref="P10:P12"/>
    <mergeCell ref="P13:P15"/>
    <mergeCell ref="P16:P18"/>
    <mergeCell ref="P19:P21"/>
    <mergeCell ref="O5:O9"/>
    <mergeCell ref="O10:O12"/>
    <mergeCell ref="C13:C15"/>
    <mergeCell ref="D13:D15"/>
    <mergeCell ref="E13:E15"/>
    <mergeCell ref="F13:F15"/>
    <mergeCell ref="O13:O15"/>
    <mergeCell ref="C10:C12"/>
    <mergeCell ref="J19:J21"/>
    <mergeCell ref="K19:K21"/>
    <mergeCell ref="N19:N21"/>
    <mergeCell ref="O19:O21"/>
    <mergeCell ref="C19:C21"/>
    <mergeCell ref="D19:D21"/>
    <mergeCell ref="E19:E21"/>
    <mergeCell ref="E10:E12"/>
    <mergeCell ref="F10:F12"/>
    <mergeCell ref="G10:I12"/>
    <mergeCell ref="J10:J12"/>
    <mergeCell ref="K10:K12"/>
    <mergeCell ref="N10:N12"/>
    <mergeCell ref="G13:I15"/>
    <mergeCell ref="A2:D2"/>
    <mergeCell ref="A5:B9"/>
    <mergeCell ref="C5:C9"/>
    <mergeCell ref="D5:D9"/>
    <mergeCell ref="E5:E9"/>
    <mergeCell ref="F5:F9"/>
    <mergeCell ref="G5:I5"/>
    <mergeCell ref="J5:J9"/>
    <mergeCell ref="K5:K9"/>
    <mergeCell ref="L5:M5"/>
    <mergeCell ref="G28:I30"/>
    <mergeCell ref="O22:O24"/>
    <mergeCell ref="O16:O18"/>
    <mergeCell ref="J25:J27"/>
    <mergeCell ref="K25:K27"/>
    <mergeCell ref="N25:N27"/>
    <mergeCell ref="O25:O27"/>
    <mergeCell ref="K16:K18"/>
    <mergeCell ref="N16:N18"/>
    <mergeCell ref="N5:N9"/>
    <mergeCell ref="J28:J30"/>
    <mergeCell ref="K28:K30"/>
    <mergeCell ref="N28:N30"/>
    <mergeCell ref="J13:J15"/>
    <mergeCell ref="K13:K15"/>
    <mergeCell ref="N13:N15"/>
    <mergeCell ref="F25:F27"/>
    <mergeCell ref="G25:I27"/>
    <mergeCell ref="G22:I24"/>
    <mergeCell ref="J22:J24"/>
    <mergeCell ref="J16:J18"/>
    <mergeCell ref="G19:I21"/>
    <mergeCell ref="G16:I18"/>
    <mergeCell ref="C28:C30"/>
    <mergeCell ref="D28:D30"/>
    <mergeCell ref="E28:E30"/>
    <mergeCell ref="C25:C27"/>
    <mergeCell ref="D25:D27"/>
    <mergeCell ref="E25:E27"/>
    <mergeCell ref="D16:D18"/>
    <mergeCell ref="E16:E18"/>
    <mergeCell ref="F16:F18"/>
    <mergeCell ref="F19:F21"/>
    <mergeCell ref="C22:C24"/>
    <mergeCell ref="D22:D24"/>
    <mergeCell ref="E22:E24"/>
    <mergeCell ref="F22:F24"/>
    <mergeCell ref="D10:D12"/>
    <mergeCell ref="A10:B33"/>
    <mergeCell ref="O28:O30"/>
    <mergeCell ref="C31:C33"/>
    <mergeCell ref="D31:D33"/>
    <mergeCell ref="E31:E33"/>
    <mergeCell ref="F31:F33"/>
    <mergeCell ref="G31:I33"/>
    <mergeCell ref="J31:J33"/>
    <mergeCell ref="K31:K33"/>
    <mergeCell ref="N31:N33"/>
    <mergeCell ref="O31:O33"/>
    <mergeCell ref="K22:K24"/>
    <mergeCell ref="N22:N24"/>
    <mergeCell ref="F28:F30"/>
    <mergeCell ref="C16:C18"/>
  </mergeCell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08
Hoja 5. Indicadores Proceso Gestión de Proyectos
Página &amp;P de &amp;N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B050"/>
  </sheetPr>
  <dimension ref="A1:O97"/>
  <sheetViews>
    <sheetView showGridLines="0" topLeftCell="C1" zoomScale="70" zoomScaleNormal="70" workbookViewId="0">
      <selection activeCell="J15" sqref="J15:J17"/>
    </sheetView>
  </sheetViews>
  <sheetFormatPr baseColWidth="10" defaultColWidth="11.453125" defaultRowHeight="13.5" x14ac:dyDescent="0.25"/>
  <cols>
    <col min="1" max="2" width="24.08984375" style="2" customWidth="1"/>
    <col min="3" max="3" width="20.453125" style="2" customWidth="1"/>
    <col min="4" max="4" width="21.54296875" style="2" customWidth="1"/>
    <col min="5" max="5" width="22.36328125" style="2" customWidth="1"/>
    <col min="6" max="6" width="27" style="2" customWidth="1"/>
    <col min="7" max="7" width="22.453125" style="2" customWidth="1"/>
    <col min="8" max="8" width="31.54296875" style="2" customWidth="1"/>
    <col min="9" max="9" width="30.08984375" style="2" customWidth="1"/>
    <col min="10" max="10" width="25.453125" style="2" customWidth="1"/>
    <col min="11" max="11" width="26.453125" style="2" customWidth="1"/>
    <col min="12" max="12" width="25.36328125" style="2" customWidth="1"/>
    <col min="13" max="13" width="69.90625" style="2" customWidth="1"/>
    <col min="14" max="14" width="24.08984375" style="2" customWidth="1"/>
    <col min="15" max="15" width="27.36328125" style="2" customWidth="1"/>
    <col min="16" max="16384" width="11.453125" style="2"/>
  </cols>
  <sheetData>
    <row r="1" spans="1:15" ht="64.5" customHeight="1" x14ac:dyDescent="0.25">
      <c r="A1" s="744"/>
      <c r="B1" s="744"/>
      <c r="C1" s="744"/>
      <c r="D1" s="744"/>
      <c r="E1" s="9"/>
      <c r="F1" s="9"/>
      <c r="G1" s="9"/>
      <c r="H1" s="9"/>
      <c r="I1" s="9"/>
      <c r="J1" s="9"/>
      <c r="K1" s="9"/>
      <c r="L1" s="9"/>
      <c r="M1" s="9"/>
      <c r="N1" s="9"/>
      <c r="O1" s="9"/>
    </row>
    <row r="2" spans="1:15" ht="27.75" customHeight="1" x14ac:dyDescent="0.25">
      <c r="A2" s="830" t="s">
        <v>22</v>
      </c>
      <c r="B2" s="831"/>
      <c r="C2" s="831"/>
      <c r="D2" s="831"/>
      <c r="E2" s="831"/>
      <c r="F2" s="831"/>
      <c r="G2" s="831"/>
      <c r="H2" s="831"/>
      <c r="I2" s="831"/>
      <c r="J2" s="831"/>
      <c r="K2" s="831"/>
      <c r="L2" s="831"/>
      <c r="M2" s="831"/>
      <c r="N2" s="831"/>
      <c r="O2" s="832"/>
    </row>
    <row r="4" spans="1:15" s="4" customFormat="1" ht="41.25" customHeight="1" x14ac:dyDescent="0.35">
      <c r="A4" s="833" t="s">
        <v>0</v>
      </c>
      <c r="B4" s="833"/>
      <c r="C4" s="833" t="s">
        <v>26</v>
      </c>
      <c r="D4" s="833" t="s">
        <v>1</v>
      </c>
      <c r="E4" s="833" t="s">
        <v>2</v>
      </c>
      <c r="F4" s="833" t="s">
        <v>3</v>
      </c>
      <c r="G4" s="833" t="s">
        <v>33</v>
      </c>
      <c r="H4" s="833"/>
      <c r="I4" s="833"/>
      <c r="J4" s="834" t="s">
        <v>4</v>
      </c>
      <c r="K4" s="834" t="s">
        <v>5</v>
      </c>
      <c r="L4" s="836" t="s">
        <v>49</v>
      </c>
      <c r="M4" s="837"/>
      <c r="N4" s="834" t="s">
        <v>6</v>
      </c>
      <c r="O4" s="834" t="s">
        <v>7</v>
      </c>
    </row>
    <row r="5" spans="1:15" s="4" customFormat="1" ht="36" customHeight="1" x14ac:dyDescent="0.35">
      <c r="A5" s="833"/>
      <c r="B5" s="833"/>
      <c r="C5" s="833"/>
      <c r="D5" s="833"/>
      <c r="E5" s="833"/>
      <c r="F5" s="833"/>
      <c r="G5" s="282" t="s">
        <v>31</v>
      </c>
      <c r="H5" s="282" t="s">
        <v>32</v>
      </c>
      <c r="I5" s="282" t="s">
        <v>43</v>
      </c>
      <c r="J5" s="835"/>
      <c r="K5" s="835"/>
      <c r="L5" s="282" t="s">
        <v>47</v>
      </c>
      <c r="M5" s="282" t="s">
        <v>48</v>
      </c>
      <c r="N5" s="835"/>
      <c r="O5" s="835"/>
    </row>
    <row r="6" spans="1:15" s="4" customFormat="1" ht="40.5" x14ac:dyDescent="0.35">
      <c r="A6" s="833"/>
      <c r="B6" s="833"/>
      <c r="C6" s="833"/>
      <c r="D6" s="833"/>
      <c r="E6" s="833"/>
      <c r="F6" s="833"/>
      <c r="G6" s="12" t="s">
        <v>35</v>
      </c>
      <c r="H6" s="13" t="s">
        <v>37</v>
      </c>
      <c r="I6" s="12" t="s">
        <v>40</v>
      </c>
      <c r="J6" s="835"/>
      <c r="K6" s="835"/>
      <c r="L6" s="11" t="s">
        <v>44</v>
      </c>
      <c r="M6" s="13" t="s">
        <v>52</v>
      </c>
      <c r="N6" s="835"/>
      <c r="O6" s="835"/>
    </row>
    <row r="7" spans="1:15" s="4" customFormat="1" ht="40.5" x14ac:dyDescent="0.35">
      <c r="A7" s="833"/>
      <c r="B7" s="833"/>
      <c r="C7" s="833"/>
      <c r="D7" s="833"/>
      <c r="E7" s="833"/>
      <c r="F7" s="833"/>
      <c r="G7" s="12" t="s">
        <v>34</v>
      </c>
      <c r="H7" s="13" t="s">
        <v>38</v>
      </c>
      <c r="I7" s="12" t="s">
        <v>41</v>
      </c>
      <c r="J7" s="835"/>
      <c r="K7" s="835"/>
      <c r="L7" s="10" t="s">
        <v>45</v>
      </c>
      <c r="M7" s="13" t="s">
        <v>50</v>
      </c>
      <c r="N7" s="835"/>
      <c r="O7" s="835"/>
    </row>
    <row r="8" spans="1:15" s="4" customFormat="1" ht="54" x14ac:dyDescent="0.35">
      <c r="A8" s="833"/>
      <c r="B8" s="833"/>
      <c r="C8" s="833"/>
      <c r="D8" s="833"/>
      <c r="E8" s="833"/>
      <c r="F8" s="833"/>
      <c r="G8" s="12" t="s">
        <v>36</v>
      </c>
      <c r="H8" s="13" t="s">
        <v>39</v>
      </c>
      <c r="I8" s="12" t="s">
        <v>42</v>
      </c>
      <c r="J8" s="835"/>
      <c r="K8" s="835"/>
      <c r="L8" s="42" t="s">
        <v>46</v>
      </c>
      <c r="M8" s="48" t="s">
        <v>51</v>
      </c>
      <c r="N8" s="835"/>
      <c r="O8" s="835"/>
    </row>
    <row r="9" spans="1:15" ht="45.75" customHeight="1" x14ac:dyDescent="0.25">
      <c r="A9" s="829" t="s">
        <v>109</v>
      </c>
      <c r="B9" s="829"/>
      <c r="C9" s="829" t="s">
        <v>110</v>
      </c>
      <c r="D9" s="838" t="s">
        <v>111</v>
      </c>
      <c r="E9" s="839" t="s">
        <v>112</v>
      </c>
      <c r="F9" s="829" t="s">
        <v>113</v>
      </c>
      <c r="G9" s="829" t="s">
        <v>34</v>
      </c>
      <c r="H9" s="829"/>
      <c r="I9" s="829"/>
      <c r="J9" s="844" t="s">
        <v>55</v>
      </c>
      <c r="K9" s="845" t="s">
        <v>65</v>
      </c>
      <c r="L9" s="54" t="s">
        <v>44</v>
      </c>
      <c r="M9" s="57" t="s">
        <v>65</v>
      </c>
      <c r="N9" s="829" t="s">
        <v>97</v>
      </c>
      <c r="O9" s="829" t="s">
        <v>1098</v>
      </c>
    </row>
    <row r="10" spans="1:15" ht="45.75" customHeight="1" x14ac:dyDescent="0.25">
      <c r="A10" s="829"/>
      <c r="B10" s="829"/>
      <c r="C10" s="829"/>
      <c r="D10" s="838"/>
      <c r="E10" s="839"/>
      <c r="F10" s="829"/>
      <c r="G10" s="829"/>
      <c r="H10" s="829"/>
      <c r="I10" s="829"/>
      <c r="J10" s="844"/>
      <c r="K10" s="846"/>
      <c r="L10" s="54" t="s">
        <v>45</v>
      </c>
      <c r="M10" s="55" t="s">
        <v>1070</v>
      </c>
      <c r="N10" s="829"/>
      <c r="O10" s="829"/>
    </row>
    <row r="11" spans="1:15" ht="45.75" customHeight="1" x14ac:dyDescent="0.25">
      <c r="A11" s="829"/>
      <c r="B11" s="829"/>
      <c r="C11" s="829"/>
      <c r="D11" s="838"/>
      <c r="E11" s="839"/>
      <c r="F11" s="829"/>
      <c r="G11" s="829"/>
      <c r="H11" s="829"/>
      <c r="I11" s="829"/>
      <c r="J11" s="844"/>
      <c r="K11" s="847"/>
      <c r="L11" s="54" t="s">
        <v>46</v>
      </c>
      <c r="M11" s="56" t="s">
        <v>104</v>
      </c>
      <c r="N11" s="829"/>
      <c r="O11" s="829"/>
    </row>
    <row r="12" spans="1:15" ht="68.25" customHeight="1" x14ac:dyDescent="0.25">
      <c r="A12" s="829"/>
      <c r="B12" s="829"/>
      <c r="C12" s="829" t="s">
        <v>53</v>
      </c>
      <c r="D12" s="838" t="s">
        <v>114</v>
      </c>
      <c r="E12" s="839" t="s">
        <v>115</v>
      </c>
      <c r="F12" s="829" t="s">
        <v>116</v>
      </c>
      <c r="G12" s="829" t="s">
        <v>34</v>
      </c>
      <c r="H12" s="829"/>
      <c r="I12" s="829"/>
      <c r="J12" s="840" t="s">
        <v>63</v>
      </c>
      <c r="K12" s="841" t="s">
        <v>57</v>
      </c>
      <c r="L12" s="54" t="s">
        <v>44</v>
      </c>
      <c r="M12" s="57" t="s">
        <v>57</v>
      </c>
      <c r="N12" s="829" t="s">
        <v>97</v>
      </c>
      <c r="O12" s="829" t="s">
        <v>1097</v>
      </c>
    </row>
    <row r="13" spans="1:15" ht="68.25" customHeight="1" x14ac:dyDescent="0.25">
      <c r="A13" s="829"/>
      <c r="B13" s="829"/>
      <c r="C13" s="829"/>
      <c r="D13" s="838"/>
      <c r="E13" s="839"/>
      <c r="F13" s="829"/>
      <c r="G13" s="829"/>
      <c r="H13" s="829"/>
      <c r="I13" s="829"/>
      <c r="J13" s="840"/>
      <c r="K13" s="842"/>
      <c r="L13" s="54" t="s">
        <v>45</v>
      </c>
      <c r="M13" s="55" t="s">
        <v>117</v>
      </c>
      <c r="N13" s="829"/>
      <c r="O13" s="829"/>
    </row>
    <row r="14" spans="1:15" ht="68.25" customHeight="1" x14ac:dyDescent="0.25">
      <c r="A14" s="829"/>
      <c r="B14" s="829"/>
      <c r="C14" s="829"/>
      <c r="D14" s="838"/>
      <c r="E14" s="839"/>
      <c r="F14" s="829"/>
      <c r="G14" s="829"/>
      <c r="H14" s="829"/>
      <c r="I14" s="829"/>
      <c r="J14" s="840"/>
      <c r="K14" s="843"/>
      <c r="L14" s="54" t="s">
        <v>46</v>
      </c>
      <c r="M14" s="56" t="s">
        <v>104</v>
      </c>
      <c r="N14" s="829"/>
      <c r="O14" s="829"/>
    </row>
    <row r="15" spans="1:15" ht="51" customHeight="1" x14ac:dyDescent="0.25">
      <c r="A15" s="829"/>
      <c r="B15" s="829"/>
      <c r="C15" s="829" t="s">
        <v>67</v>
      </c>
      <c r="D15" s="838" t="s">
        <v>118</v>
      </c>
      <c r="E15" s="839" t="s">
        <v>119</v>
      </c>
      <c r="F15" s="829" t="s">
        <v>120</v>
      </c>
      <c r="G15" s="829" t="s">
        <v>34</v>
      </c>
      <c r="H15" s="829"/>
      <c r="I15" s="829"/>
      <c r="J15" s="844" t="s">
        <v>55</v>
      </c>
      <c r="K15" s="848" t="s">
        <v>65</v>
      </c>
      <c r="L15" s="54" t="s">
        <v>44</v>
      </c>
      <c r="M15" s="57" t="s">
        <v>65</v>
      </c>
      <c r="N15" s="829" t="s">
        <v>97</v>
      </c>
      <c r="O15" s="829" t="s">
        <v>1097</v>
      </c>
    </row>
    <row r="16" spans="1:15" ht="51" customHeight="1" x14ac:dyDescent="0.25">
      <c r="A16" s="829"/>
      <c r="B16" s="829"/>
      <c r="C16" s="829"/>
      <c r="D16" s="838"/>
      <c r="E16" s="839"/>
      <c r="F16" s="829"/>
      <c r="G16" s="829"/>
      <c r="H16" s="829"/>
      <c r="I16" s="829"/>
      <c r="J16" s="844"/>
      <c r="K16" s="849"/>
      <c r="L16" s="54" t="s">
        <v>45</v>
      </c>
      <c r="M16" s="55" t="s">
        <v>121</v>
      </c>
      <c r="N16" s="829"/>
      <c r="O16" s="829"/>
    </row>
    <row r="17" spans="1:15" ht="51" customHeight="1" x14ac:dyDescent="0.25">
      <c r="A17" s="829"/>
      <c r="B17" s="829"/>
      <c r="C17" s="829"/>
      <c r="D17" s="838"/>
      <c r="E17" s="839"/>
      <c r="F17" s="829"/>
      <c r="G17" s="829"/>
      <c r="H17" s="829"/>
      <c r="I17" s="829"/>
      <c r="J17" s="844"/>
      <c r="K17" s="850"/>
      <c r="L17" s="54" t="s">
        <v>46</v>
      </c>
      <c r="M17" s="56" t="s">
        <v>61</v>
      </c>
      <c r="N17" s="829"/>
      <c r="O17" s="829"/>
    </row>
    <row r="18" spans="1:15" ht="60" customHeight="1" x14ac:dyDescent="0.25">
      <c r="A18" s="829"/>
      <c r="B18" s="829"/>
      <c r="C18" s="829" t="s">
        <v>67</v>
      </c>
      <c r="D18" s="851" t="s">
        <v>1071</v>
      </c>
      <c r="E18" s="829" t="s">
        <v>1072</v>
      </c>
      <c r="F18" s="852" t="s">
        <v>1073</v>
      </c>
      <c r="G18" s="829" t="s">
        <v>34</v>
      </c>
      <c r="H18" s="829"/>
      <c r="I18" s="829"/>
      <c r="J18" s="844" t="s">
        <v>55</v>
      </c>
      <c r="K18" s="845" t="s">
        <v>65</v>
      </c>
      <c r="L18" s="54" t="s">
        <v>44</v>
      </c>
      <c r="M18" s="57" t="s">
        <v>65</v>
      </c>
      <c r="N18" s="829" t="s">
        <v>97</v>
      </c>
      <c r="O18" s="839" t="s">
        <v>1099</v>
      </c>
    </row>
    <row r="19" spans="1:15" ht="69" customHeight="1" x14ac:dyDescent="0.25">
      <c r="A19" s="829"/>
      <c r="B19" s="829"/>
      <c r="C19" s="829"/>
      <c r="D19" s="851"/>
      <c r="E19" s="829"/>
      <c r="F19" s="852"/>
      <c r="G19" s="829"/>
      <c r="H19" s="829"/>
      <c r="I19" s="829"/>
      <c r="J19" s="844"/>
      <c r="K19" s="846"/>
      <c r="L19" s="54" t="s">
        <v>45</v>
      </c>
      <c r="M19" s="55" t="s">
        <v>1070</v>
      </c>
      <c r="N19" s="829"/>
      <c r="O19" s="839"/>
    </row>
    <row r="20" spans="1:15" ht="60" customHeight="1" x14ac:dyDescent="0.25">
      <c r="A20" s="829"/>
      <c r="B20" s="829"/>
      <c r="C20" s="829"/>
      <c r="D20" s="851"/>
      <c r="E20" s="829"/>
      <c r="F20" s="852"/>
      <c r="G20" s="829"/>
      <c r="H20" s="829"/>
      <c r="I20" s="829"/>
      <c r="J20" s="844"/>
      <c r="K20" s="847"/>
      <c r="L20" s="54" t="s">
        <v>46</v>
      </c>
      <c r="M20" s="56" t="s">
        <v>104</v>
      </c>
      <c r="N20" s="829"/>
      <c r="O20" s="839"/>
    </row>
    <row r="21" spans="1:15" ht="43.5" customHeight="1" x14ac:dyDescent="0.25">
      <c r="A21" s="829"/>
      <c r="B21" s="829"/>
      <c r="C21" s="829" t="s">
        <v>67</v>
      </c>
      <c r="D21" s="851" t="s">
        <v>851</v>
      </c>
      <c r="E21" s="829" t="s">
        <v>852</v>
      </c>
      <c r="F21" s="852" t="s">
        <v>853</v>
      </c>
      <c r="G21" s="829" t="s">
        <v>34</v>
      </c>
      <c r="H21" s="829"/>
      <c r="I21" s="829"/>
      <c r="J21" s="844" t="s">
        <v>63</v>
      </c>
      <c r="K21" s="841" t="s">
        <v>709</v>
      </c>
      <c r="L21" s="54" t="s">
        <v>44</v>
      </c>
      <c r="M21" s="58" t="s">
        <v>709</v>
      </c>
      <c r="N21" s="829" t="s">
        <v>97</v>
      </c>
      <c r="O21" s="839" t="s">
        <v>1099</v>
      </c>
    </row>
    <row r="22" spans="1:15" ht="39.75" customHeight="1" x14ac:dyDescent="0.25">
      <c r="A22" s="829"/>
      <c r="B22" s="829"/>
      <c r="C22" s="829"/>
      <c r="D22" s="851"/>
      <c r="E22" s="829"/>
      <c r="F22" s="852"/>
      <c r="G22" s="829"/>
      <c r="H22" s="829"/>
      <c r="I22" s="829"/>
      <c r="J22" s="844"/>
      <c r="K22" s="842"/>
      <c r="L22" s="54" t="s">
        <v>45</v>
      </c>
      <c r="M22" s="24" t="s">
        <v>854</v>
      </c>
      <c r="N22" s="829"/>
      <c r="O22" s="839"/>
    </row>
    <row r="23" spans="1:15" ht="50.25" customHeight="1" x14ac:dyDescent="0.25">
      <c r="A23" s="829"/>
      <c r="B23" s="829"/>
      <c r="C23" s="829"/>
      <c r="D23" s="851"/>
      <c r="E23" s="829"/>
      <c r="F23" s="852"/>
      <c r="G23" s="829"/>
      <c r="H23" s="829"/>
      <c r="I23" s="829"/>
      <c r="J23" s="844"/>
      <c r="K23" s="843"/>
      <c r="L23" s="54" t="s">
        <v>46</v>
      </c>
      <c r="M23" s="25" t="s">
        <v>855</v>
      </c>
      <c r="N23" s="829"/>
      <c r="O23" s="839"/>
    </row>
    <row r="24" spans="1:15" ht="45" customHeight="1" x14ac:dyDescent="0.25">
      <c r="A24" s="829"/>
      <c r="B24" s="829"/>
      <c r="C24" s="829" t="s">
        <v>67</v>
      </c>
      <c r="D24" s="851" t="s">
        <v>1069</v>
      </c>
      <c r="E24" s="829" t="s">
        <v>856</v>
      </c>
      <c r="F24" s="852" t="s">
        <v>857</v>
      </c>
      <c r="G24" s="829" t="s">
        <v>34</v>
      </c>
      <c r="H24" s="829"/>
      <c r="I24" s="829"/>
      <c r="J24" s="844" t="s">
        <v>63</v>
      </c>
      <c r="K24" s="841" t="s">
        <v>858</v>
      </c>
      <c r="L24" s="54" t="s">
        <v>44</v>
      </c>
      <c r="M24" s="58" t="s">
        <v>858</v>
      </c>
      <c r="N24" s="829" t="s">
        <v>97</v>
      </c>
      <c r="O24" s="839" t="s">
        <v>1099</v>
      </c>
    </row>
    <row r="25" spans="1:15" ht="44.25" customHeight="1" x14ac:dyDescent="0.25">
      <c r="A25" s="829"/>
      <c r="B25" s="829"/>
      <c r="C25" s="829"/>
      <c r="D25" s="851"/>
      <c r="E25" s="829"/>
      <c r="F25" s="852"/>
      <c r="G25" s="829"/>
      <c r="H25" s="829"/>
      <c r="I25" s="829"/>
      <c r="J25" s="844"/>
      <c r="K25" s="842"/>
      <c r="L25" s="54" t="s">
        <v>45</v>
      </c>
      <c r="M25" s="24" t="s">
        <v>859</v>
      </c>
      <c r="N25" s="829"/>
      <c r="O25" s="839"/>
    </row>
    <row r="26" spans="1:15" ht="39.75" customHeight="1" x14ac:dyDescent="0.25">
      <c r="A26" s="829"/>
      <c r="B26" s="829"/>
      <c r="C26" s="829"/>
      <c r="D26" s="851"/>
      <c r="E26" s="829"/>
      <c r="F26" s="852"/>
      <c r="G26" s="829"/>
      <c r="H26" s="829"/>
      <c r="I26" s="829"/>
      <c r="J26" s="844"/>
      <c r="K26" s="843"/>
      <c r="L26" s="54" t="s">
        <v>46</v>
      </c>
      <c r="M26" s="25" t="s">
        <v>860</v>
      </c>
      <c r="N26" s="829"/>
      <c r="O26" s="839"/>
    </row>
    <row r="27" spans="1:15" ht="45" customHeight="1" x14ac:dyDescent="0.25">
      <c r="A27" s="443"/>
      <c r="B27" s="443"/>
      <c r="C27" s="829" t="s">
        <v>67</v>
      </c>
      <c r="D27" s="851" t="s">
        <v>1100</v>
      </c>
      <c r="E27" s="829" t="s">
        <v>856</v>
      </c>
      <c r="F27" s="852" t="s">
        <v>1101</v>
      </c>
      <c r="G27" s="829" t="s">
        <v>34</v>
      </c>
      <c r="H27" s="829"/>
      <c r="I27" s="829"/>
      <c r="J27" s="844" t="s">
        <v>63</v>
      </c>
      <c r="K27" s="841" t="s">
        <v>859</v>
      </c>
      <c r="L27" s="54" t="s">
        <v>44</v>
      </c>
      <c r="M27" s="58" t="s">
        <v>859</v>
      </c>
      <c r="N27" s="829" t="s">
        <v>97</v>
      </c>
      <c r="O27" s="829" t="s">
        <v>1074</v>
      </c>
    </row>
    <row r="28" spans="1:15" ht="44.25" customHeight="1" x14ac:dyDescent="0.25">
      <c r="A28" s="443"/>
      <c r="B28" s="443"/>
      <c r="C28" s="829"/>
      <c r="D28" s="851"/>
      <c r="E28" s="829"/>
      <c r="F28" s="852"/>
      <c r="G28" s="829"/>
      <c r="H28" s="829"/>
      <c r="I28" s="829"/>
      <c r="J28" s="844"/>
      <c r="K28" s="842"/>
      <c r="L28" s="54" t="s">
        <v>45</v>
      </c>
      <c r="M28" s="24" t="s">
        <v>860</v>
      </c>
      <c r="N28" s="829"/>
      <c r="O28" s="829"/>
    </row>
    <row r="29" spans="1:15" ht="39.75" customHeight="1" x14ac:dyDescent="0.25">
      <c r="A29" s="443"/>
      <c r="B29" s="443"/>
      <c r="C29" s="829"/>
      <c r="D29" s="851"/>
      <c r="E29" s="829"/>
      <c r="F29" s="852"/>
      <c r="G29" s="829"/>
      <c r="H29" s="829"/>
      <c r="I29" s="829"/>
      <c r="J29" s="844"/>
      <c r="K29" s="843"/>
      <c r="L29" s="54" t="s">
        <v>46</v>
      </c>
      <c r="M29" s="25" t="s">
        <v>1102</v>
      </c>
      <c r="N29" s="829"/>
      <c r="O29" s="829"/>
    </row>
    <row r="30" spans="1:15" ht="38.25" customHeight="1" x14ac:dyDescent="0.25">
      <c r="A30" s="3"/>
      <c r="B30" s="3"/>
    </row>
    <row r="31" spans="1:15" ht="33.75" customHeight="1" x14ac:dyDescent="0.25">
      <c r="A31" s="853" t="str">
        <f>+D9</f>
        <v>PORCENTAJE (%) DE PROYECTOS EVALUADOS PARA SU VIABILIZACIÓN EN UN TIEMPO IGUAL O INFERIOR A LO REGLAMENTADO EN EL SGC.</v>
      </c>
      <c r="B31" s="854"/>
      <c r="C31" s="854"/>
      <c r="D31" s="854"/>
      <c r="E31" s="854"/>
      <c r="F31" s="854"/>
      <c r="G31" s="854"/>
      <c r="H31" s="854"/>
      <c r="I31" s="854"/>
      <c r="J31" s="854"/>
      <c r="K31" s="854"/>
      <c r="L31" s="854"/>
      <c r="M31" s="854"/>
      <c r="N31" s="854"/>
      <c r="O31" s="855"/>
    </row>
    <row r="32" spans="1:15" ht="42.75" customHeight="1" x14ac:dyDescent="0.25">
      <c r="A32" s="5"/>
    </row>
    <row r="33" spans="1:15" ht="42.75" customHeight="1" x14ac:dyDescent="0.45">
      <c r="A33" s="26"/>
      <c r="G33" s="31">
        <v>2012</v>
      </c>
      <c r="H33" s="31">
        <v>2013</v>
      </c>
      <c r="I33" s="31">
        <v>2014</v>
      </c>
      <c r="J33" s="31">
        <v>2015</v>
      </c>
      <c r="K33" s="31">
        <v>2016</v>
      </c>
      <c r="L33" s="31">
        <v>2017</v>
      </c>
    </row>
    <row r="34" spans="1:15" ht="42.75" customHeight="1" x14ac:dyDescent="0.45">
      <c r="A34" s="856" t="s">
        <v>123</v>
      </c>
      <c r="B34" s="857"/>
      <c r="C34" s="857"/>
      <c r="D34" s="857"/>
      <c r="E34" s="857"/>
      <c r="F34" s="857"/>
      <c r="G34" s="32">
        <v>0.97</v>
      </c>
      <c r="H34" s="32">
        <v>1</v>
      </c>
      <c r="I34" s="32">
        <v>0.98</v>
      </c>
      <c r="J34" s="32">
        <f>+K42</f>
        <v>0.98076923076923073</v>
      </c>
      <c r="K34" s="32">
        <v>1</v>
      </c>
      <c r="L34" s="32">
        <v>1</v>
      </c>
    </row>
    <row r="35" spans="1:15" ht="42.75" customHeight="1" x14ac:dyDescent="0.45">
      <c r="A35" s="856" t="s">
        <v>76</v>
      </c>
      <c r="B35" s="857"/>
      <c r="C35" s="857"/>
      <c r="D35" s="857"/>
      <c r="E35" s="857"/>
      <c r="F35" s="857"/>
      <c r="G35" s="32">
        <v>1</v>
      </c>
      <c r="H35" s="32">
        <v>1</v>
      </c>
      <c r="I35" s="32">
        <v>1</v>
      </c>
      <c r="J35" s="32">
        <v>1</v>
      </c>
      <c r="K35" s="32">
        <v>1</v>
      </c>
      <c r="L35" s="32">
        <v>1</v>
      </c>
    </row>
    <row r="36" spans="1:15" ht="14.25" customHeight="1" x14ac:dyDescent="0.25">
      <c r="A36" s="5"/>
    </row>
    <row r="37" spans="1:15" ht="42.75" customHeight="1" x14ac:dyDescent="0.25">
      <c r="A37" s="5"/>
      <c r="B37" s="28"/>
      <c r="C37" s="28"/>
      <c r="D37" s="28"/>
      <c r="G37" s="858" t="s">
        <v>77</v>
      </c>
      <c r="H37" s="858"/>
      <c r="I37" s="858" t="s">
        <v>78</v>
      </c>
      <c r="J37" s="858"/>
      <c r="K37" s="858"/>
      <c r="L37" s="858" t="s">
        <v>79</v>
      </c>
      <c r="M37" s="858"/>
      <c r="N37" s="858"/>
      <c r="O37" s="858"/>
    </row>
    <row r="38" spans="1:15" ht="204.75" customHeight="1" x14ac:dyDescent="0.25">
      <c r="A38" s="5"/>
      <c r="G38" s="858"/>
      <c r="H38" s="858"/>
      <c r="I38" s="59" t="s">
        <v>124</v>
      </c>
      <c r="J38" s="59" t="s">
        <v>125</v>
      </c>
      <c r="K38" s="59" t="s">
        <v>126</v>
      </c>
      <c r="L38" s="858"/>
      <c r="M38" s="858"/>
      <c r="N38" s="858"/>
      <c r="O38" s="858"/>
    </row>
    <row r="39" spans="1:15" ht="185.25" hidden="1" customHeight="1" x14ac:dyDescent="0.3">
      <c r="B39" s="29"/>
      <c r="C39" s="30"/>
      <c r="D39" s="30"/>
      <c r="G39" s="859">
        <v>2012</v>
      </c>
      <c r="H39" s="859"/>
      <c r="I39" s="45">
        <v>77</v>
      </c>
      <c r="J39" s="45">
        <v>79</v>
      </c>
      <c r="K39" s="60">
        <f t="shared" ref="K39:K44" si="0">+I39/J39</f>
        <v>0.97468354430379744</v>
      </c>
      <c r="L39" s="860" t="s">
        <v>127</v>
      </c>
      <c r="M39" s="860"/>
      <c r="N39" s="860"/>
      <c r="O39" s="860"/>
    </row>
    <row r="40" spans="1:15" ht="100.5" hidden="1" customHeight="1" x14ac:dyDescent="0.3">
      <c r="B40" s="29"/>
      <c r="C40" s="30"/>
      <c r="D40" s="30"/>
      <c r="G40" s="859">
        <v>2013</v>
      </c>
      <c r="H40" s="859"/>
      <c r="I40" s="45">
        <v>78</v>
      </c>
      <c r="J40" s="45">
        <v>78</v>
      </c>
      <c r="K40" s="60">
        <f t="shared" si="0"/>
        <v>1</v>
      </c>
      <c r="L40" s="860" t="s">
        <v>520</v>
      </c>
      <c r="M40" s="860"/>
      <c r="N40" s="860"/>
      <c r="O40" s="860"/>
    </row>
    <row r="41" spans="1:15" ht="99" hidden="1" customHeight="1" x14ac:dyDescent="0.3">
      <c r="B41" s="29"/>
      <c r="C41" s="30"/>
      <c r="D41" s="30"/>
      <c r="G41" s="859">
        <v>2014</v>
      </c>
      <c r="H41" s="859"/>
      <c r="I41" s="245">
        <v>52</v>
      </c>
      <c r="J41" s="245">
        <v>53</v>
      </c>
      <c r="K41" s="164">
        <f t="shared" si="0"/>
        <v>0.98113207547169812</v>
      </c>
      <c r="L41" s="860" t="s">
        <v>757</v>
      </c>
      <c r="M41" s="860"/>
      <c r="N41" s="860"/>
      <c r="O41" s="860"/>
    </row>
    <row r="42" spans="1:15" ht="90" customHeight="1" x14ac:dyDescent="0.3">
      <c r="B42" s="29"/>
      <c r="C42" s="30"/>
      <c r="D42" s="30"/>
      <c r="G42" s="859">
        <v>2015</v>
      </c>
      <c r="H42" s="859"/>
      <c r="I42" s="245">
        <v>51</v>
      </c>
      <c r="J42" s="245">
        <v>52</v>
      </c>
      <c r="K42" s="164">
        <f t="shared" si="0"/>
        <v>0.98076923076923073</v>
      </c>
      <c r="L42" s="860" t="s">
        <v>767</v>
      </c>
      <c r="M42" s="860"/>
      <c r="N42" s="860"/>
      <c r="O42" s="860"/>
    </row>
    <row r="43" spans="1:15" ht="65.25" customHeight="1" x14ac:dyDescent="0.3">
      <c r="B43" s="29"/>
      <c r="C43" s="30"/>
      <c r="D43" s="30"/>
      <c r="G43" s="859">
        <v>2016</v>
      </c>
      <c r="H43" s="859"/>
      <c r="I43" s="245">
        <v>38</v>
      </c>
      <c r="J43" s="245">
        <v>38</v>
      </c>
      <c r="K43" s="164">
        <f t="shared" si="0"/>
        <v>1</v>
      </c>
      <c r="L43" s="860" t="s">
        <v>861</v>
      </c>
      <c r="M43" s="860"/>
      <c r="N43" s="860"/>
      <c r="O43" s="860"/>
    </row>
    <row r="44" spans="1:15" ht="65.25" customHeight="1" x14ac:dyDescent="0.3">
      <c r="B44" s="29"/>
      <c r="C44" s="30"/>
      <c r="D44" s="30"/>
      <c r="G44" s="859">
        <v>2017</v>
      </c>
      <c r="H44" s="859"/>
      <c r="I44" s="245">
        <v>34</v>
      </c>
      <c r="J44" s="245">
        <v>34</v>
      </c>
      <c r="K44" s="164">
        <f t="shared" si="0"/>
        <v>1</v>
      </c>
      <c r="L44" s="860" t="s">
        <v>1159</v>
      </c>
      <c r="M44" s="860"/>
      <c r="N44" s="860"/>
      <c r="O44" s="860"/>
    </row>
    <row r="45" spans="1:15" ht="15" hidden="1" x14ac:dyDescent="0.3">
      <c r="B45" s="29"/>
      <c r="C45" s="30"/>
      <c r="D45" s="30"/>
      <c r="G45" s="36"/>
      <c r="H45" s="216"/>
      <c r="I45" s="216"/>
      <c r="J45" s="216"/>
      <c r="K45" s="217"/>
      <c r="L45" s="217"/>
      <c r="M45" s="217"/>
      <c r="N45" s="217"/>
    </row>
    <row r="46" spans="1:15" ht="31.5" customHeight="1" x14ac:dyDescent="0.25">
      <c r="A46" s="853" t="str">
        <f>+D12</f>
        <v>PORCENTAJE (%)  DE ENCUESTA DE SATISFACCIÓN CALIFICADAS POR LOS USUARIOS DE PROYECTOS CON UNA NOTA SUPERIOR O IGUAL A TRES PUNTO CINCO (3.5) SOBRE CINCO (5.0).</v>
      </c>
      <c r="B46" s="854"/>
      <c r="C46" s="854"/>
      <c r="D46" s="854"/>
      <c r="E46" s="854"/>
      <c r="F46" s="854"/>
      <c r="G46" s="854"/>
      <c r="H46" s="854"/>
      <c r="I46" s="854"/>
      <c r="J46" s="854"/>
      <c r="K46" s="854"/>
      <c r="L46" s="854"/>
      <c r="M46" s="854"/>
      <c r="N46" s="854"/>
      <c r="O46" s="855"/>
    </row>
    <row r="47" spans="1:15" x14ac:dyDescent="0.25">
      <c r="A47" s="5"/>
    </row>
    <row r="48" spans="1:15" ht="51" customHeight="1" x14ac:dyDescent="0.25">
      <c r="A48" s="26"/>
      <c r="G48" s="39">
        <v>2011</v>
      </c>
      <c r="H48" s="39">
        <v>2012</v>
      </c>
      <c r="I48" s="39">
        <v>2013</v>
      </c>
      <c r="J48" s="39">
        <v>2014</v>
      </c>
      <c r="K48" s="39">
        <v>2015</v>
      </c>
      <c r="L48" s="39">
        <v>2016</v>
      </c>
      <c r="M48" s="39">
        <v>2017</v>
      </c>
    </row>
    <row r="49" spans="1:15" ht="47.25" customHeight="1" x14ac:dyDescent="0.25">
      <c r="A49" s="856" t="s">
        <v>128</v>
      </c>
      <c r="B49" s="857"/>
      <c r="C49" s="857"/>
      <c r="D49" s="857"/>
      <c r="E49" s="857"/>
      <c r="F49" s="857"/>
      <c r="G49" s="149">
        <v>0.89</v>
      </c>
      <c r="H49" s="149">
        <v>0.97</v>
      </c>
      <c r="I49" s="149">
        <v>0.98699999999999999</v>
      </c>
      <c r="J49" s="260">
        <f>+L58</f>
        <v>1</v>
      </c>
      <c r="K49" s="149" t="e">
        <f>+L59</f>
        <v>#DIV/0!</v>
      </c>
      <c r="L49" s="149">
        <f>+L60</f>
        <v>1</v>
      </c>
      <c r="M49" s="149">
        <f>+L61</f>
        <v>1</v>
      </c>
    </row>
    <row r="50" spans="1:15" ht="47.25" customHeight="1" x14ac:dyDescent="0.25">
      <c r="A50" s="856" t="s">
        <v>76</v>
      </c>
      <c r="B50" s="857"/>
      <c r="C50" s="857"/>
      <c r="D50" s="857"/>
      <c r="E50" s="857"/>
      <c r="F50" s="857"/>
      <c r="G50" s="27">
        <v>0.95</v>
      </c>
      <c r="H50" s="27">
        <v>0.95</v>
      </c>
      <c r="I50" s="27">
        <v>0.95</v>
      </c>
      <c r="J50" s="27">
        <v>0.95</v>
      </c>
      <c r="K50" s="27">
        <v>0.95</v>
      </c>
      <c r="L50" s="27">
        <v>0.95</v>
      </c>
      <c r="M50" s="27">
        <v>0.95</v>
      </c>
    </row>
    <row r="51" spans="1:15" x14ac:dyDescent="0.25">
      <c r="A51" s="5"/>
    </row>
    <row r="52" spans="1:15" ht="17.5" x14ac:dyDescent="0.25">
      <c r="A52" s="5"/>
      <c r="B52" s="28"/>
      <c r="C52" s="28"/>
      <c r="D52" s="28"/>
      <c r="G52" s="858" t="s">
        <v>77</v>
      </c>
      <c r="H52" s="858" t="s">
        <v>129</v>
      </c>
      <c r="I52" s="858"/>
      <c r="J52" s="858" t="s">
        <v>78</v>
      </c>
      <c r="K52" s="858"/>
      <c r="L52" s="858"/>
      <c r="M52" s="858" t="s">
        <v>79</v>
      </c>
      <c r="N52" s="858"/>
      <c r="O52" s="858"/>
    </row>
    <row r="53" spans="1:15" ht="277.5" customHeight="1" x14ac:dyDescent="0.25">
      <c r="A53" s="5"/>
      <c r="G53" s="858"/>
      <c r="H53" s="858"/>
      <c r="I53" s="858"/>
      <c r="J53" s="59" t="s">
        <v>130</v>
      </c>
      <c r="K53" s="59" t="s">
        <v>131</v>
      </c>
      <c r="L53" s="59" t="s">
        <v>132</v>
      </c>
      <c r="M53" s="858"/>
      <c r="N53" s="858"/>
      <c r="O53" s="858"/>
    </row>
    <row r="54" spans="1:15" ht="297" hidden="1" customHeight="1" x14ac:dyDescent="0.3">
      <c r="B54" s="29"/>
      <c r="C54" s="30"/>
      <c r="D54" s="30"/>
      <c r="G54" s="280">
        <v>2011</v>
      </c>
      <c r="H54" s="861" t="s">
        <v>81</v>
      </c>
      <c r="I54" s="861"/>
      <c r="J54" s="288">
        <v>158</v>
      </c>
      <c r="K54" s="288">
        <v>177</v>
      </c>
      <c r="L54" s="287">
        <f>+J54/K54</f>
        <v>0.89265536723163841</v>
      </c>
      <c r="M54" s="860" t="s">
        <v>133</v>
      </c>
      <c r="N54" s="860"/>
      <c r="O54" s="860"/>
    </row>
    <row r="55" spans="1:15" ht="268.5" hidden="1" customHeight="1" x14ac:dyDescent="0.3">
      <c r="B55" s="29"/>
      <c r="C55" s="30"/>
      <c r="D55" s="30"/>
      <c r="G55" s="280">
        <v>2012</v>
      </c>
      <c r="H55" s="861" t="s">
        <v>81</v>
      </c>
      <c r="I55" s="861"/>
      <c r="J55" s="284">
        <v>132</v>
      </c>
      <c r="K55" s="284">
        <v>136</v>
      </c>
      <c r="L55" s="62">
        <f>+J55/K55</f>
        <v>0.97058823529411764</v>
      </c>
      <c r="M55" s="860" t="s">
        <v>134</v>
      </c>
      <c r="N55" s="860"/>
      <c r="O55" s="860"/>
    </row>
    <row r="56" spans="1:15" ht="408.75" hidden="1" customHeight="1" x14ac:dyDescent="0.3">
      <c r="B56" s="29"/>
      <c r="C56" s="30"/>
      <c r="D56" s="30"/>
      <c r="G56" s="289">
        <v>2013</v>
      </c>
      <c r="H56" s="862" t="s">
        <v>81</v>
      </c>
      <c r="I56" s="862"/>
      <c r="J56" s="285">
        <v>74</v>
      </c>
      <c r="K56" s="285">
        <v>75</v>
      </c>
      <c r="L56" s="150">
        <f>+J56/K56</f>
        <v>0.98666666666666669</v>
      </c>
      <c r="M56" s="863" t="s">
        <v>522</v>
      </c>
      <c r="N56" s="863"/>
      <c r="O56" s="863"/>
    </row>
    <row r="57" spans="1:15" ht="252.75" hidden="1" customHeight="1" x14ac:dyDescent="0.3">
      <c r="B57" s="29"/>
      <c r="C57" s="30"/>
      <c r="D57" s="30"/>
      <c r="G57" s="290"/>
      <c r="H57" s="864"/>
      <c r="I57" s="864"/>
      <c r="J57" s="286"/>
      <c r="K57" s="286"/>
      <c r="L57" s="151"/>
      <c r="M57" s="865" t="s">
        <v>521</v>
      </c>
      <c r="N57" s="865"/>
      <c r="O57" s="865"/>
    </row>
    <row r="58" spans="1:15" ht="62.25" hidden="1" customHeight="1" x14ac:dyDescent="0.3">
      <c r="B58" s="29"/>
      <c r="C58" s="30"/>
      <c r="D58" s="30"/>
      <c r="G58" s="280">
        <v>2014</v>
      </c>
      <c r="H58" s="861" t="s">
        <v>81</v>
      </c>
      <c r="I58" s="861"/>
      <c r="J58" s="284">
        <v>315</v>
      </c>
      <c r="K58" s="284">
        <v>315</v>
      </c>
      <c r="L58" s="62">
        <f>+J58/K58</f>
        <v>1</v>
      </c>
      <c r="M58" s="868" t="s">
        <v>781</v>
      </c>
      <c r="N58" s="868"/>
      <c r="O58" s="868"/>
    </row>
    <row r="59" spans="1:15" ht="57.75" customHeight="1" x14ac:dyDescent="0.3">
      <c r="B59" s="29"/>
      <c r="C59" s="30"/>
      <c r="D59" s="30"/>
      <c r="G59" s="280">
        <v>2015</v>
      </c>
      <c r="H59" s="861" t="s">
        <v>81</v>
      </c>
      <c r="I59" s="861"/>
      <c r="J59" s="284">
        <v>0</v>
      </c>
      <c r="K59" s="284">
        <v>0</v>
      </c>
      <c r="L59" s="62" t="e">
        <f>+J59/K59</f>
        <v>#DIV/0!</v>
      </c>
      <c r="M59" s="869" t="s">
        <v>780</v>
      </c>
      <c r="N59" s="869"/>
      <c r="O59" s="869"/>
    </row>
    <row r="60" spans="1:15" ht="60" customHeight="1" x14ac:dyDescent="0.3">
      <c r="B60" s="29"/>
      <c r="C60" s="30"/>
      <c r="D60" s="30"/>
      <c r="G60" s="280">
        <v>2016</v>
      </c>
      <c r="H60" s="861" t="s">
        <v>81</v>
      </c>
      <c r="I60" s="861"/>
      <c r="J60" s="284">
        <v>9</v>
      </c>
      <c r="K60" s="284">
        <v>9</v>
      </c>
      <c r="L60" s="62">
        <f>+J60/K60</f>
        <v>1</v>
      </c>
      <c r="M60" s="869"/>
      <c r="N60" s="869"/>
      <c r="O60" s="869"/>
    </row>
    <row r="61" spans="1:15" ht="61.5" customHeight="1" x14ac:dyDescent="0.3">
      <c r="B61" s="29"/>
      <c r="C61" s="30"/>
      <c r="D61" s="30"/>
      <c r="G61" s="502">
        <v>2017</v>
      </c>
      <c r="H61" s="861" t="s">
        <v>81</v>
      </c>
      <c r="I61" s="861"/>
      <c r="J61" s="503">
        <v>16</v>
      </c>
      <c r="K61" s="503">
        <v>16</v>
      </c>
      <c r="L61" s="62">
        <f>+J61/K61</f>
        <v>1</v>
      </c>
      <c r="M61" s="869"/>
      <c r="N61" s="869"/>
      <c r="O61" s="869"/>
    </row>
    <row r="62" spans="1:15" ht="15" x14ac:dyDescent="0.3">
      <c r="B62" s="29"/>
      <c r="C62" s="30"/>
      <c r="D62" s="30"/>
      <c r="G62" s="36"/>
      <c r="H62" s="216"/>
      <c r="I62" s="216"/>
      <c r="J62" s="216"/>
      <c r="K62" s="217"/>
      <c r="L62" s="217"/>
      <c r="M62" s="217"/>
      <c r="N62" s="217"/>
    </row>
    <row r="63" spans="1:15" ht="39" customHeight="1" x14ac:dyDescent="0.25">
      <c r="A63" s="853" t="str">
        <f>+D15</f>
        <v>PORCENTAJE (%)  DE ACCIONES CORRECTIVAS DE SERVICIOS NO CONFORMES ESTABLECIDAS  EFICAZMENTE.</v>
      </c>
      <c r="B63" s="854"/>
      <c r="C63" s="854"/>
      <c r="D63" s="854"/>
      <c r="E63" s="854"/>
      <c r="F63" s="854"/>
      <c r="G63" s="854"/>
      <c r="H63" s="854"/>
      <c r="I63" s="854"/>
      <c r="J63" s="854"/>
      <c r="K63" s="854"/>
      <c r="L63" s="854"/>
      <c r="M63" s="854"/>
      <c r="N63" s="854"/>
      <c r="O63" s="855"/>
    </row>
    <row r="64" spans="1:15" x14ac:dyDescent="0.25">
      <c r="A64" s="5"/>
    </row>
    <row r="65" spans="1:15" ht="39.75" customHeight="1" x14ac:dyDescent="0.25">
      <c r="A65" s="26"/>
      <c r="G65" s="39">
        <v>2012</v>
      </c>
      <c r="H65" s="39">
        <v>2013</v>
      </c>
      <c r="I65" s="39">
        <v>2014</v>
      </c>
      <c r="J65" s="39">
        <v>2015</v>
      </c>
      <c r="K65" s="39">
        <v>2016</v>
      </c>
      <c r="L65" s="39">
        <v>2017</v>
      </c>
    </row>
    <row r="66" spans="1:15" ht="48.75" customHeight="1" x14ac:dyDescent="0.25">
      <c r="A66" s="866" t="s">
        <v>135</v>
      </c>
      <c r="B66" s="867"/>
      <c r="C66" s="867"/>
      <c r="D66" s="867"/>
      <c r="E66" s="867"/>
      <c r="F66" s="867"/>
      <c r="G66" s="27">
        <v>1</v>
      </c>
      <c r="H66" s="27" t="e">
        <f>0/0%</f>
        <v>#DIV/0!</v>
      </c>
      <c r="I66" s="27">
        <v>1</v>
      </c>
      <c r="J66" s="27">
        <f>+K76</f>
        <v>1</v>
      </c>
      <c r="K66" s="27">
        <f>+K81</f>
        <v>1</v>
      </c>
      <c r="L66" s="27">
        <v>1</v>
      </c>
    </row>
    <row r="67" spans="1:15" ht="30" customHeight="1" x14ac:dyDescent="0.25">
      <c r="A67" s="866" t="s">
        <v>76</v>
      </c>
      <c r="B67" s="867"/>
      <c r="C67" s="867"/>
      <c r="D67" s="867"/>
      <c r="E67" s="867"/>
      <c r="F67" s="867"/>
      <c r="G67" s="27">
        <v>0.9</v>
      </c>
      <c r="H67" s="27">
        <v>0.9</v>
      </c>
      <c r="I67" s="27">
        <v>0.9</v>
      </c>
      <c r="J67" s="27">
        <v>0.9</v>
      </c>
      <c r="K67" s="27">
        <v>0.9</v>
      </c>
      <c r="L67" s="27">
        <v>0.9</v>
      </c>
    </row>
    <row r="68" spans="1:15" x14ac:dyDescent="0.25">
      <c r="A68" s="5"/>
    </row>
    <row r="69" spans="1:15" ht="17.5" x14ac:dyDescent="0.25">
      <c r="A69" s="5"/>
      <c r="B69" s="28"/>
      <c r="C69" s="28"/>
      <c r="D69" s="28"/>
      <c r="G69" s="858" t="s">
        <v>77</v>
      </c>
      <c r="H69" s="858"/>
      <c r="I69" s="858" t="s">
        <v>78</v>
      </c>
      <c r="J69" s="858"/>
      <c r="K69" s="858"/>
      <c r="L69" s="858" t="s">
        <v>79</v>
      </c>
      <c r="M69" s="858"/>
      <c r="N69" s="858"/>
      <c r="O69" s="858"/>
    </row>
    <row r="70" spans="1:15" ht="145.5" customHeight="1" x14ac:dyDescent="0.25">
      <c r="A70" s="5"/>
      <c r="G70" s="858"/>
      <c r="H70" s="858"/>
      <c r="I70" s="59" t="s">
        <v>136</v>
      </c>
      <c r="J70" s="59" t="s">
        <v>137</v>
      </c>
      <c r="K70" s="59" t="s">
        <v>138</v>
      </c>
      <c r="L70" s="858"/>
      <c r="M70" s="858"/>
      <c r="N70" s="858"/>
      <c r="O70" s="858"/>
    </row>
    <row r="71" spans="1:15" ht="135.75" customHeight="1" x14ac:dyDescent="0.3">
      <c r="B71" s="29"/>
      <c r="C71" s="30"/>
      <c r="D71" s="30"/>
      <c r="G71" s="859">
        <v>2012</v>
      </c>
      <c r="H71" s="859"/>
      <c r="I71" s="281">
        <v>3</v>
      </c>
      <c r="J71" s="281">
        <v>3</v>
      </c>
      <c r="K71" s="33">
        <f t="shared" ref="K71:K81" si="1">+I71/J71</f>
        <v>1</v>
      </c>
      <c r="L71" s="873" t="s">
        <v>139</v>
      </c>
      <c r="M71" s="873"/>
      <c r="N71" s="873"/>
      <c r="O71" s="873"/>
    </row>
    <row r="72" spans="1:15" ht="63" customHeight="1" x14ac:dyDescent="0.3">
      <c r="B72" s="29"/>
      <c r="C72" s="30"/>
      <c r="D72" s="30"/>
      <c r="G72" s="859">
        <v>2013</v>
      </c>
      <c r="H72" s="859"/>
      <c r="I72" s="45">
        <v>0</v>
      </c>
      <c r="J72" s="45">
        <v>0</v>
      </c>
      <c r="K72" s="60" t="e">
        <f t="shared" si="1"/>
        <v>#DIV/0!</v>
      </c>
      <c r="L72" s="874" t="s">
        <v>140</v>
      </c>
      <c r="M72" s="875"/>
      <c r="N72" s="875"/>
      <c r="O72" s="876"/>
    </row>
    <row r="73" spans="1:15" ht="63" customHeight="1" x14ac:dyDescent="0.3">
      <c r="B73" s="29"/>
      <c r="C73" s="30"/>
      <c r="D73" s="30"/>
      <c r="G73" s="859">
        <v>2014</v>
      </c>
      <c r="H73" s="45" t="s">
        <v>141</v>
      </c>
      <c r="I73" s="245">
        <v>1</v>
      </c>
      <c r="J73" s="245">
        <v>1</v>
      </c>
      <c r="K73" s="164">
        <f t="shared" si="1"/>
        <v>1</v>
      </c>
      <c r="L73" s="860" t="s">
        <v>758</v>
      </c>
      <c r="M73" s="870"/>
      <c r="N73" s="870"/>
      <c r="O73" s="870"/>
    </row>
    <row r="74" spans="1:15" ht="63" customHeight="1" x14ac:dyDescent="0.3">
      <c r="B74" s="29"/>
      <c r="C74" s="30"/>
      <c r="D74" s="30"/>
      <c r="G74" s="859"/>
      <c r="H74" s="45" t="s">
        <v>142</v>
      </c>
      <c r="I74" s="245">
        <v>1</v>
      </c>
      <c r="J74" s="245">
        <v>1</v>
      </c>
      <c r="K74" s="164">
        <f t="shared" si="1"/>
        <v>1</v>
      </c>
      <c r="L74" s="870"/>
      <c r="M74" s="870"/>
      <c r="N74" s="870"/>
      <c r="O74" s="870"/>
    </row>
    <row r="75" spans="1:15" ht="63" customHeight="1" x14ac:dyDescent="0.3">
      <c r="B75" s="29"/>
      <c r="C75" s="30"/>
      <c r="D75" s="30"/>
      <c r="G75" s="859"/>
      <c r="H75" s="45" t="s">
        <v>81</v>
      </c>
      <c r="I75" s="245">
        <f>SUM(I73:I74)</f>
        <v>2</v>
      </c>
      <c r="J75" s="245">
        <f>SUM(J73:J74)</f>
        <v>2</v>
      </c>
      <c r="K75" s="164">
        <f t="shared" si="1"/>
        <v>1</v>
      </c>
      <c r="L75" s="870"/>
      <c r="M75" s="870"/>
      <c r="N75" s="870"/>
      <c r="O75" s="870"/>
    </row>
    <row r="76" spans="1:15" ht="63" customHeight="1" x14ac:dyDescent="0.3">
      <c r="B76" s="29"/>
      <c r="C76" s="30"/>
      <c r="D76" s="30"/>
      <c r="G76" s="859">
        <v>2015</v>
      </c>
      <c r="H76" s="45" t="s">
        <v>141</v>
      </c>
      <c r="I76" s="245">
        <v>1</v>
      </c>
      <c r="J76" s="245">
        <v>1</v>
      </c>
      <c r="K76" s="164">
        <f t="shared" si="1"/>
        <v>1</v>
      </c>
      <c r="L76" s="860" t="s">
        <v>768</v>
      </c>
      <c r="M76" s="870"/>
      <c r="N76" s="870"/>
      <c r="O76" s="870"/>
    </row>
    <row r="77" spans="1:15" ht="63" customHeight="1" x14ac:dyDescent="0.3">
      <c r="B77" s="29"/>
      <c r="C77" s="30"/>
      <c r="D77" s="30"/>
      <c r="G77" s="859"/>
      <c r="H77" s="45" t="s">
        <v>142</v>
      </c>
      <c r="I77" s="245"/>
      <c r="J77" s="245"/>
      <c r="K77" s="164" t="e">
        <f t="shared" si="1"/>
        <v>#DIV/0!</v>
      </c>
      <c r="L77" s="870"/>
      <c r="M77" s="870"/>
      <c r="N77" s="870"/>
      <c r="O77" s="870"/>
    </row>
    <row r="78" spans="1:15" ht="63" customHeight="1" x14ac:dyDescent="0.3">
      <c r="B78" s="29"/>
      <c r="C78" s="30"/>
      <c r="D78" s="30"/>
      <c r="G78" s="859"/>
      <c r="H78" s="45" t="s">
        <v>81</v>
      </c>
      <c r="I78" s="245">
        <f>SUM(I76:I77)</f>
        <v>1</v>
      </c>
      <c r="J78" s="245">
        <f>SUM(J76:J77)</f>
        <v>1</v>
      </c>
      <c r="K78" s="164">
        <f t="shared" si="1"/>
        <v>1</v>
      </c>
      <c r="L78" s="870"/>
      <c r="M78" s="870"/>
      <c r="N78" s="870"/>
      <c r="O78" s="870"/>
    </row>
    <row r="79" spans="1:15" ht="63" customHeight="1" x14ac:dyDescent="0.3">
      <c r="B79" s="29"/>
      <c r="C79" s="30"/>
      <c r="D79" s="30"/>
      <c r="G79" s="859">
        <v>2016</v>
      </c>
      <c r="H79" s="45" t="s">
        <v>141</v>
      </c>
      <c r="I79" s="245"/>
      <c r="J79" s="245"/>
      <c r="K79" s="164" t="e">
        <f t="shared" si="1"/>
        <v>#DIV/0!</v>
      </c>
      <c r="L79" s="860"/>
      <c r="M79" s="870"/>
      <c r="N79" s="870"/>
      <c r="O79" s="870"/>
    </row>
    <row r="80" spans="1:15" ht="63" customHeight="1" x14ac:dyDescent="0.3">
      <c r="B80" s="29"/>
      <c r="C80" s="30"/>
      <c r="D80" s="30"/>
      <c r="G80" s="859"/>
      <c r="H80" s="45" t="s">
        <v>142</v>
      </c>
      <c r="I80" s="245"/>
      <c r="J80" s="245"/>
      <c r="K80" s="164" t="e">
        <f t="shared" si="1"/>
        <v>#DIV/0!</v>
      </c>
      <c r="L80" s="870"/>
      <c r="M80" s="870"/>
      <c r="N80" s="870"/>
      <c r="O80" s="870"/>
    </row>
    <row r="81" spans="1:15" ht="63" customHeight="1" x14ac:dyDescent="0.3">
      <c r="B81" s="29"/>
      <c r="C81" s="30"/>
      <c r="D81" s="30"/>
      <c r="G81" s="859"/>
      <c r="H81" s="45" t="s">
        <v>81</v>
      </c>
      <c r="I81" s="245">
        <v>1</v>
      </c>
      <c r="J81" s="245">
        <v>1</v>
      </c>
      <c r="K81" s="164">
        <f t="shared" si="1"/>
        <v>1</v>
      </c>
      <c r="L81" s="870"/>
      <c r="M81" s="870"/>
      <c r="N81" s="870"/>
      <c r="O81" s="870"/>
    </row>
    <row r="82" spans="1:15" ht="63" customHeight="1" x14ac:dyDescent="0.3">
      <c r="B82" s="29"/>
      <c r="C82" s="30"/>
      <c r="D82" s="30"/>
      <c r="G82" s="859">
        <v>2017</v>
      </c>
      <c r="H82" s="45" t="s">
        <v>141</v>
      </c>
      <c r="I82" s="245"/>
      <c r="J82" s="245"/>
      <c r="K82" s="164" t="e">
        <f>+I82/J82</f>
        <v>#DIV/0!</v>
      </c>
      <c r="L82" s="860"/>
      <c r="M82" s="870"/>
      <c r="N82" s="870"/>
      <c r="O82" s="870"/>
    </row>
    <row r="83" spans="1:15" ht="63" customHeight="1" x14ac:dyDescent="0.3">
      <c r="B83" s="29"/>
      <c r="C83" s="30"/>
      <c r="D83" s="30"/>
      <c r="G83" s="859"/>
      <c r="H83" s="45" t="s">
        <v>142</v>
      </c>
      <c r="I83" s="245"/>
      <c r="J83" s="245"/>
      <c r="K83" s="164" t="e">
        <f>+I83/J83</f>
        <v>#DIV/0!</v>
      </c>
      <c r="L83" s="870"/>
      <c r="M83" s="870"/>
      <c r="N83" s="870"/>
      <c r="O83" s="870"/>
    </row>
    <row r="84" spans="1:15" ht="63" customHeight="1" x14ac:dyDescent="0.3">
      <c r="B84" s="29"/>
      <c r="C84" s="30"/>
      <c r="D84" s="30"/>
      <c r="G84" s="859"/>
      <c r="H84" s="45" t="s">
        <v>81</v>
      </c>
      <c r="I84" s="245">
        <v>0</v>
      </c>
      <c r="J84" s="245">
        <v>0</v>
      </c>
      <c r="K84" s="164" t="e">
        <f>+I84/J84</f>
        <v>#DIV/0!</v>
      </c>
      <c r="L84" s="870"/>
      <c r="M84" s="870"/>
      <c r="N84" s="870"/>
      <c r="O84" s="870"/>
    </row>
    <row r="85" spans="1:15" ht="15" x14ac:dyDescent="0.3">
      <c r="B85" s="29"/>
      <c r="C85" s="30"/>
      <c r="D85" s="30"/>
      <c r="G85" s="36"/>
      <c r="H85" s="216"/>
      <c r="I85" s="216"/>
      <c r="J85" s="216"/>
      <c r="K85" s="217"/>
      <c r="L85" s="217"/>
      <c r="M85" s="217"/>
      <c r="N85" s="217"/>
    </row>
    <row r="86" spans="1:15" ht="15" x14ac:dyDescent="0.3">
      <c r="B86" s="29"/>
      <c r="C86" s="30"/>
      <c r="D86" s="30"/>
    </row>
    <row r="87" spans="1:15" ht="27" customHeight="1" x14ac:dyDescent="0.25">
      <c r="A87" s="871" t="str">
        <f>+'Hoja 11. TABLA DE CONTROL'!B29</f>
        <v>PORCENTAJE DE REDUCCIÓN CARGA CONTAMINANTE PARÁMETROS DBO5</v>
      </c>
      <c r="B87" s="871"/>
      <c r="C87" s="871"/>
      <c r="D87" s="871"/>
      <c r="E87" s="871"/>
      <c r="F87" s="871"/>
      <c r="G87" s="871"/>
      <c r="H87" s="871"/>
      <c r="I87" s="871"/>
      <c r="J87" s="871"/>
      <c r="K87" s="871"/>
      <c r="L87" s="871"/>
      <c r="M87" s="871"/>
      <c r="N87" s="871"/>
      <c r="O87" s="871"/>
    </row>
    <row r="88" spans="1:15" ht="20.25" customHeight="1" x14ac:dyDescent="0.25">
      <c r="A88" s="283" t="s">
        <v>76</v>
      </c>
      <c r="B88" s="283" t="s">
        <v>95</v>
      </c>
      <c r="C88" s="872" t="s">
        <v>78</v>
      </c>
      <c r="D88" s="872"/>
      <c r="E88" s="872"/>
      <c r="F88" s="872"/>
      <c r="G88" s="872"/>
      <c r="H88" s="872" t="s">
        <v>79</v>
      </c>
      <c r="I88" s="872"/>
      <c r="J88" s="872"/>
      <c r="K88" s="872"/>
      <c r="L88" s="872"/>
      <c r="M88" s="872"/>
      <c r="N88" s="872"/>
      <c r="O88" s="872"/>
    </row>
    <row r="89" spans="1:15" ht="326.25" customHeight="1" x14ac:dyDescent="0.25">
      <c r="A89" s="432" t="s">
        <v>850</v>
      </c>
      <c r="B89" s="434">
        <v>1</v>
      </c>
      <c r="C89" s="878" t="s">
        <v>1181</v>
      </c>
      <c r="D89" s="878"/>
      <c r="E89" s="878"/>
      <c r="F89" s="878"/>
      <c r="G89" s="878"/>
      <c r="H89" s="879" t="s">
        <v>862</v>
      </c>
      <c r="I89" s="879"/>
      <c r="J89" s="879"/>
      <c r="K89" s="879"/>
      <c r="L89" s="879"/>
      <c r="M89" s="879"/>
      <c r="N89" s="879"/>
      <c r="O89" s="879"/>
    </row>
    <row r="91" spans="1:15" ht="29.25" customHeight="1" x14ac:dyDescent="0.25">
      <c r="A91" s="871" t="str">
        <f>+'Hoja 11. TABLA DE CONTROL'!B30</f>
        <v>PORCENTAJE DE REDUCCIÓN DE CARGA CONTAMINANTE PARÁMETROS SST.</v>
      </c>
      <c r="B91" s="871"/>
      <c r="C91" s="871"/>
      <c r="D91" s="871"/>
      <c r="E91" s="871"/>
      <c r="F91" s="871"/>
      <c r="G91" s="871"/>
      <c r="H91" s="871"/>
      <c r="I91" s="871"/>
      <c r="J91" s="871"/>
      <c r="K91" s="871"/>
      <c r="L91" s="871"/>
      <c r="M91" s="871"/>
      <c r="N91" s="871"/>
      <c r="O91" s="871"/>
    </row>
    <row r="92" spans="1:15" ht="21" customHeight="1" x14ac:dyDescent="0.25">
      <c r="A92" s="283" t="s">
        <v>76</v>
      </c>
      <c r="B92" s="283" t="s">
        <v>95</v>
      </c>
      <c r="C92" s="872" t="s">
        <v>78</v>
      </c>
      <c r="D92" s="872"/>
      <c r="E92" s="872"/>
      <c r="F92" s="872"/>
      <c r="G92" s="872"/>
      <c r="H92" s="872" t="s">
        <v>79</v>
      </c>
      <c r="I92" s="872"/>
      <c r="J92" s="872"/>
      <c r="K92" s="872"/>
      <c r="L92" s="872"/>
      <c r="M92" s="872"/>
      <c r="N92" s="872"/>
      <c r="O92" s="872"/>
    </row>
    <row r="93" spans="1:15" ht="58.5" customHeight="1" x14ac:dyDescent="0.25">
      <c r="A93" s="432" t="s">
        <v>709</v>
      </c>
      <c r="B93" s="251">
        <v>1</v>
      </c>
      <c r="C93" s="878" t="s">
        <v>1182</v>
      </c>
      <c r="D93" s="878"/>
      <c r="E93" s="878"/>
      <c r="F93" s="878"/>
      <c r="G93" s="878"/>
      <c r="H93" s="879" t="s">
        <v>863</v>
      </c>
      <c r="I93" s="879"/>
      <c r="J93" s="879"/>
      <c r="K93" s="879"/>
      <c r="L93" s="879"/>
      <c r="M93" s="879"/>
      <c r="N93" s="879"/>
      <c r="O93" s="879"/>
    </row>
    <row r="95" spans="1:15" ht="22.5" customHeight="1" x14ac:dyDescent="0.25">
      <c r="A95" s="871" t="str">
        <f>+'Hoja 11. TABLA DE CONTROL'!B31</f>
        <v>PORCENTAJE (%) DE BOSQUES CON UN VOLUMEN DE APROVECHAMIENTO PERMISIONADO MENOR O IGUAL AL PERMISIONABLE.</v>
      </c>
      <c r="B95" s="871"/>
      <c r="C95" s="871"/>
      <c r="D95" s="871"/>
      <c r="E95" s="871"/>
      <c r="F95" s="871"/>
      <c r="G95" s="871"/>
      <c r="H95" s="871"/>
      <c r="I95" s="871"/>
      <c r="J95" s="871"/>
      <c r="K95" s="871"/>
      <c r="L95" s="871"/>
      <c r="M95" s="871"/>
      <c r="N95" s="871"/>
      <c r="O95" s="871"/>
    </row>
    <row r="96" spans="1:15" ht="20.25" customHeight="1" x14ac:dyDescent="0.25">
      <c r="A96" s="46" t="s">
        <v>76</v>
      </c>
      <c r="B96" s="46" t="s">
        <v>95</v>
      </c>
      <c r="C96" s="877" t="s">
        <v>78</v>
      </c>
      <c r="D96" s="877"/>
      <c r="E96" s="877"/>
      <c r="F96" s="877"/>
      <c r="G96" s="877"/>
      <c r="H96" s="877" t="s">
        <v>79</v>
      </c>
      <c r="I96" s="877"/>
      <c r="J96" s="877"/>
      <c r="K96" s="877"/>
      <c r="L96" s="877"/>
      <c r="M96" s="877"/>
      <c r="N96" s="877"/>
      <c r="O96" s="877"/>
    </row>
    <row r="97" spans="1:15" ht="109.5" customHeight="1" x14ac:dyDescent="0.25">
      <c r="A97" s="432" t="s">
        <v>858</v>
      </c>
      <c r="B97" s="433">
        <v>1</v>
      </c>
      <c r="C97" s="878" t="s">
        <v>1183</v>
      </c>
      <c r="D97" s="878"/>
      <c r="E97" s="878"/>
      <c r="F97" s="878"/>
      <c r="G97" s="878"/>
      <c r="H97" s="879" t="s">
        <v>864</v>
      </c>
      <c r="I97" s="879"/>
      <c r="J97" s="879"/>
      <c r="K97" s="879"/>
      <c r="L97" s="879"/>
      <c r="M97" s="879"/>
      <c r="N97" s="879"/>
      <c r="O97" s="879"/>
    </row>
  </sheetData>
  <mergeCells count="151">
    <mergeCell ref="C27:C29"/>
    <mergeCell ref="D27:D29"/>
    <mergeCell ref="E27:E29"/>
    <mergeCell ref="F27:F29"/>
    <mergeCell ref="G27:I29"/>
    <mergeCell ref="J27:J29"/>
    <mergeCell ref="K27:K29"/>
    <mergeCell ref="N27:N29"/>
    <mergeCell ref="O27:O29"/>
    <mergeCell ref="A95:O95"/>
    <mergeCell ref="C96:G96"/>
    <mergeCell ref="H96:O96"/>
    <mergeCell ref="C97:G97"/>
    <mergeCell ref="H97:O97"/>
    <mergeCell ref="C89:G89"/>
    <mergeCell ref="H89:O89"/>
    <mergeCell ref="A91:O91"/>
    <mergeCell ref="C92:G92"/>
    <mergeCell ref="H92:O92"/>
    <mergeCell ref="C93:G93"/>
    <mergeCell ref="H93:O93"/>
    <mergeCell ref="G76:G78"/>
    <mergeCell ref="L76:O78"/>
    <mergeCell ref="G79:G81"/>
    <mergeCell ref="L79:O81"/>
    <mergeCell ref="A87:O87"/>
    <mergeCell ref="C88:G88"/>
    <mergeCell ref="H88:O88"/>
    <mergeCell ref="G71:H71"/>
    <mergeCell ref="L71:O71"/>
    <mergeCell ref="G72:H72"/>
    <mergeCell ref="L72:O72"/>
    <mergeCell ref="G73:G75"/>
    <mergeCell ref="L73:O75"/>
    <mergeCell ref="G82:G84"/>
    <mergeCell ref="L82:O84"/>
    <mergeCell ref="A63:O63"/>
    <mergeCell ref="A66:F66"/>
    <mergeCell ref="A67:F67"/>
    <mergeCell ref="G69:H70"/>
    <mergeCell ref="I69:K69"/>
    <mergeCell ref="L69:O70"/>
    <mergeCell ref="H58:I58"/>
    <mergeCell ref="M58:O58"/>
    <mergeCell ref="H59:I59"/>
    <mergeCell ref="M59:O59"/>
    <mergeCell ref="H60:I60"/>
    <mergeCell ref="M60:O60"/>
    <mergeCell ref="H61:I61"/>
    <mergeCell ref="M61:O61"/>
    <mergeCell ref="H55:I55"/>
    <mergeCell ref="M55:O55"/>
    <mergeCell ref="H56:I56"/>
    <mergeCell ref="M56:O56"/>
    <mergeCell ref="H57:I57"/>
    <mergeCell ref="M57:O57"/>
    <mergeCell ref="A50:F50"/>
    <mergeCell ref="G52:G53"/>
    <mergeCell ref="H52:I53"/>
    <mergeCell ref="J52:L52"/>
    <mergeCell ref="M52:O53"/>
    <mergeCell ref="H54:I54"/>
    <mergeCell ref="M54:O54"/>
    <mergeCell ref="G42:H42"/>
    <mergeCell ref="L42:O42"/>
    <mergeCell ref="G44:H44"/>
    <mergeCell ref="L44:O44"/>
    <mergeCell ref="A46:O46"/>
    <mergeCell ref="A49:F49"/>
    <mergeCell ref="G39:H39"/>
    <mergeCell ref="L39:O39"/>
    <mergeCell ref="G40:H40"/>
    <mergeCell ref="L40:O40"/>
    <mergeCell ref="G41:H41"/>
    <mergeCell ref="L41:O41"/>
    <mergeCell ref="G43:H43"/>
    <mergeCell ref="L43:O43"/>
    <mergeCell ref="O24:O26"/>
    <mergeCell ref="A31:O31"/>
    <mergeCell ref="A34:F34"/>
    <mergeCell ref="A35:F35"/>
    <mergeCell ref="G37:H38"/>
    <mergeCell ref="I37:K37"/>
    <mergeCell ref="L37:O38"/>
    <mergeCell ref="K21:K23"/>
    <mergeCell ref="N21:N23"/>
    <mergeCell ref="O21:O23"/>
    <mergeCell ref="C24:C26"/>
    <mergeCell ref="D24:D26"/>
    <mergeCell ref="E24:E26"/>
    <mergeCell ref="F24:F26"/>
    <mergeCell ref="G24:I26"/>
    <mergeCell ref="J24:J26"/>
    <mergeCell ref="K24:K26"/>
    <mergeCell ref="C21:C23"/>
    <mergeCell ref="D21:D23"/>
    <mergeCell ref="E21:E23"/>
    <mergeCell ref="F21:F23"/>
    <mergeCell ref="G21:I23"/>
    <mergeCell ref="J21:J23"/>
    <mergeCell ref="A9:B26"/>
    <mergeCell ref="C18:C20"/>
    <mergeCell ref="D18:D20"/>
    <mergeCell ref="E18:E20"/>
    <mergeCell ref="F18:F20"/>
    <mergeCell ref="G18:I20"/>
    <mergeCell ref="J18:J20"/>
    <mergeCell ref="K18:K20"/>
    <mergeCell ref="N18:N20"/>
    <mergeCell ref="O18:O20"/>
    <mergeCell ref="C9:C11"/>
    <mergeCell ref="D9:D11"/>
    <mergeCell ref="E9:E11"/>
    <mergeCell ref="F9:F11"/>
    <mergeCell ref="G9:I11"/>
    <mergeCell ref="J9:J11"/>
    <mergeCell ref="K9:K11"/>
    <mergeCell ref="N9:N11"/>
    <mergeCell ref="O15:O17"/>
    <mergeCell ref="C15:C17"/>
    <mergeCell ref="D15:D17"/>
    <mergeCell ref="E15:E17"/>
    <mergeCell ref="F15:F17"/>
    <mergeCell ref="G15:I17"/>
    <mergeCell ref="J15:J17"/>
    <mergeCell ref="K15:K17"/>
    <mergeCell ref="N15:N17"/>
    <mergeCell ref="N24:N26"/>
    <mergeCell ref="A1:D1"/>
    <mergeCell ref="A2:O2"/>
    <mergeCell ref="A4:B8"/>
    <mergeCell ref="C4:C8"/>
    <mergeCell ref="D4:D8"/>
    <mergeCell ref="E4:E8"/>
    <mergeCell ref="F4:F8"/>
    <mergeCell ref="G4:I4"/>
    <mergeCell ref="J4:J8"/>
    <mergeCell ref="K4:K8"/>
    <mergeCell ref="L4:M4"/>
    <mergeCell ref="N4:N8"/>
    <mergeCell ref="O4:O8"/>
    <mergeCell ref="O9:O11"/>
    <mergeCell ref="C12:C14"/>
    <mergeCell ref="D12:D14"/>
    <mergeCell ref="E12:E14"/>
    <mergeCell ref="F12:F14"/>
    <mergeCell ref="G12:I14"/>
    <mergeCell ref="J12:J14"/>
    <mergeCell ref="K12:K14"/>
    <mergeCell ref="N12:N14"/>
    <mergeCell ref="O12:O14"/>
  </mergeCells>
  <hyperlinks>
    <hyperlink ref="D9:D11" location="'Hoja 5. GP'!A28" display="PORCENTAJE (%) DE PROYECTOS EVALUADOS PARA SU VIABILIZACIÓN EN UN TIEMPO IGUAL O INFERIOR A LO REGLAMENTADO EN EL SGC." xr:uid="{00000000-0004-0000-1C00-000000000000}"/>
    <hyperlink ref="D12:D14" location="'Hoja 5. GP'!A42" display="PORCENTAJE (%)  DE ENCUESTA DE SATISFACCIÓN CALIFICADAS POR LOS USUARIOS DE PROYECTOS CON UNA NOTA SUPERIOR O IGUAL A TRES PUNTO CINCO (3.5) SOBRE CINCO (5.0)." xr:uid="{00000000-0004-0000-1C00-000001000000}"/>
    <hyperlink ref="D15:D17" location="'Hoja 5. GP'!A58" display="PORCENTAJE (%)  DE ACCIONES CORRECTIVAS DE SERVICIOS NO CONFORMES ESTABLECIDAS  EFICAZMENTE." xr:uid="{00000000-0004-0000-1C00-000002000000}"/>
    <hyperlink ref="D18:D20" location="'Hoja 5. GP'!A79" display="PORCENTAJE DE PROYECTOS CON SEGUIMIENTO FÍSICO Y FINANCIERO Y CON CUMPLIMIENTO DE LOS REQUISITOS" xr:uid="{00000000-0004-0000-1C00-000003000000}"/>
    <hyperlink ref="A31:O31" location="'Hoja 11. TABLA DE CONTROL'!B24" display="'Hoja 11. TABLA DE CONTROL'!B24" xr:uid="{00000000-0004-0000-1C00-000004000000}"/>
    <hyperlink ref="A46:O46" location="'Hoja 5. GP'!B25" display="'Hoja 5. GP'!B25" xr:uid="{00000000-0004-0000-1C00-000005000000}"/>
    <hyperlink ref="A63:O63" location="'Hoja 11. TABLA DE CONTROL'!B26" display="'Hoja 11. TABLA DE CONTROL'!B26" xr:uid="{00000000-0004-0000-1C00-000006000000}"/>
    <hyperlink ref="A87:O87" location="'Hoja 11. TABLA DE CONTROL'!B27" display="'Hoja 11. TABLA DE CONTROL'!B27" xr:uid="{00000000-0004-0000-1C00-000007000000}"/>
    <hyperlink ref="A91:O91" location="'Hoja 11. TABLA DE CONTROL'!B28" display="'Hoja 11. TABLA DE CONTROL'!B28" xr:uid="{00000000-0004-0000-1C00-000008000000}"/>
    <hyperlink ref="A95:O95" location="'Hoja 11. TABLA DE CONTROL'!B28" display="'Hoja 11. TABLA DE CONTROL'!B28" xr:uid="{00000000-0004-0000-1C00-000009000000}"/>
    <hyperlink ref="D21:D23" location="'Hoja 5. GP'!A83" display="Nº DE CAPACITACIONES REALIZADAS A USUARIOS EXTERNOS PARA LA PRESENTACIÓN DE PROYECTOS A CORPOURABA" xr:uid="{00000000-0004-0000-1C00-00000A000000}"/>
    <hyperlink ref="D24:D26" location="'Hoja 5. GP'!A87" display="Nº DE CAPACITACIONES REALIZADAS SOBRE MARCO LÓGICO, HERRAMIENTAS NACIONALES PARA GESTIÓN DE PROYECTOS, CUMPLIMIENTO DEL PROCESOS DE PROYECTOS Y MANEJO MODULO DE PROYECTOS" xr:uid="{00000000-0004-0000-1C00-00000B000000}"/>
    <hyperlink ref="D27:D29" location="'Hoja 5. GP'!A87" display="Nº DE CAPACITACIONES REALIZADAS SOBRE MARCO LÓGICO, HERRAMIENTAS NACIONALES PARA GESTIÓN DE PROYECTOS, CUMPLIMIENTO DEL PROCESOS DE PROYECTOS Y MANEJO MODULO DE PROYECTOS" xr:uid="{00000000-0004-0000-1C00-00000C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06
Hoja 5. Indicadores Proceso Gestión de Proyectos
Página &amp;P de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009900"/>
  </sheetPr>
  <dimension ref="A1:S301"/>
  <sheetViews>
    <sheetView showGridLines="0" topLeftCell="A227" zoomScale="70" zoomScaleNormal="70" workbookViewId="0">
      <selection activeCell="F269" sqref="F269"/>
    </sheetView>
  </sheetViews>
  <sheetFormatPr baseColWidth="10" defaultColWidth="11.453125" defaultRowHeight="13.5" x14ac:dyDescent="0.25"/>
  <cols>
    <col min="1" max="1" width="24.90625" style="2" customWidth="1"/>
    <col min="2" max="2" width="35.54296875" style="2" customWidth="1"/>
    <col min="3" max="3" width="18.6328125" style="2" customWidth="1"/>
    <col min="4" max="4" width="21.90625" style="308" customWidth="1"/>
    <col min="5" max="5" width="29.90625" style="2" customWidth="1"/>
    <col min="6" max="6" width="38.453125" style="2" customWidth="1"/>
    <col min="7" max="7" width="48.08984375" style="2" customWidth="1"/>
    <col min="8" max="8" width="37.90625" style="2" customWidth="1"/>
    <col min="9" max="9" width="30.08984375" style="2" customWidth="1"/>
    <col min="10" max="10" width="23.90625" style="2" customWidth="1"/>
    <col min="11" max="11" width="26.6328125" style="2" customWidth="1"/>
    <col min="12" max="12" width="25.36328125" style="2" customWidth="1"/>
    <col min="13" max="13" width="35.36328125" style="2" customWidth="1"/>
    <col min="14" max="14" width="24.08984375" style="2" customWidth="1"/>
    <col min="15" max="15" width="49.08984375" style="2" customWidth="1"/>
    <col min="16" max="16" width="27.36328125" style="2" customWidth="1"/>
    <col min="17" max="17" width="31.08984375" style="2" customWidth="1"/>
    <col min="18" max="18" width="41.90625" style="2" customWidth="1"/>
    <col min="19" max="19" width="77.90625" style="2" customWidth="1"/>
    <col min="20" max="20" width="20.453125" style="2" customWidth="1"/>
    <col min="21" max="21" width="49.453125" style="2" customWidth="1"/>
    <col min="22" max="16384" width="11.453125" style="2"/>
  </cols>
  <sheetData>
    <row r="1" spans="1:16" ht="30.5" x14ac:dyDescent="0.25">
      <c r="A1" s="744"/>
      <c r="B1" s="744"/>
      <c r="C1" s="744"/>
      <c r="D1" s="744"/>
      <c r="E1" s="9"/>
      <c r="F1" s="9"/>
      <c r="G1" s="9"/>
      <c r="H1" s="9"/>
      <c r="I1" s="9"/>
      <c r="J1" s="9"/>
      <c r="K1" s="9"/>
      <c r="L1" s="9"/>
      <c r="M1" s="9"/>
      <c r="N1" s="9"/>
      <c r="O1" s="9"/>
      <c r="P1" s="9"/>
    </row>
    <row r="2" spans="1:16" ht="17.5" x14ac:dyDescent="0.25">
      <c r="A2" s="830" t="s">
        <v>20</v>
      </c>
      <c r="B2" s="831"/>
      <c r="C2" s="831"/>
      <c r="D2" s="831"/>
      <c r="E2" s="831"/>
      <c r="F2" s="831"/>
      <c r="G2" s="831"/>
      <c r="H2" s="831"/>
      <c r="I2" s="831"/>
      <c r="J2" s="831"/>
      <c r="K2" s="831"/>
      <c r="L2" s="831"/>
      <c r="M2" s="831"/>
      <c r="N2" s="831"/>
      <c r="O2" s="832"/>
      <c r="P2" s="63"/>
    </row>
    <row r="4" spans="1:16" s="4" customFormat="1" ht="8.25" customHeight="1" x14ac:dyDescent="0.35">
      <c r="A4" s="833" t="s">
        <v>0</v>
      </c>
      <c r="B4" s="833"/>
      <c r="C4" s="833" t="s">
        <v>26</v>
      </c>
      <c r="D4" s="982" t="s">
        <v>1</v>
      </c>
      <c r="E4" s="833" t="s">
        <v>2</v>
      </c>
      <c r="F4" s="833" t="s">
        <v>3</v>
      </c>
      <c r="G4" s="833" t="s">
        <v>33</v>
      </c>
      <c r="H4" s="833"/>
      <c r="I4" s="833"/>
      <c r="J4" s="834" t="s">
        <v>4</v>
      </c>
      <c r="K4" s="834" t="s">
        <v>5</v>
      </c>
      <c r="L4" s="836" t="s">
        <v>49</v>
      </c>
      <c r="M4" s="837"/>
      <c r="N4" s="834" t="s">
        <v>6</v>
      </c>
      <c r="O4" s="834" t="s">
        <v>7</v>
      </c>
      <c r="P4" s="64"/>
    </row>
    <row r="5" spans="1:16" s="4" customFormat="1" ht="31.5" customHeight="1" x14ac:dyDescent="0.35">
      <c r="A5" s="833"/>
      <c r="B5" s="833"/>
      <c r="C5" s="833"/>
      <c r="D5" s="982"/>
      <c r="E5" s="833"/>
      <c r="F5" s="833"/>
      <c r="G5" s="454" t="s">
        <v>31</v>
      </c>
      <c r="H5" s="454" t="s">
        <v>32</v>
      </c>
      <c r="I5" s="454" t="s">
        <v>43</v>
      </c>
      <c r="J5" s="835"/>
      <c r="K5" s="835"/>
      <c r="L5" s="454" t="s">
        <v>47</v>
      </c>
      <c r="M5" s="454" t="s">
        <v>48</v>
      </c>
      <c r="N5" s="835"/>
      <c r="O5" s="835"/>
      <c r="P5" s="64"/>
    </row>
    <row r="6" spans="1:16" s="4" customFormat="1" ht="27.75" customHeight="1" x14ac:dyDescent="0.35">
      <c r="A6" s="833"/>
      <c r="B6" s="833"/>
      <c r="C6" s="833"/>
      <c r="D6" s="982"/>
      <c r="E6" s="833"/>
      <c r="F6" s="833"/>
      <c r="G6" s="12" t="s">
        <v>35</v>
      </c>
      <c r="H6" s="13" t="s">
        <v>37</v>
      </c>
      <c r="I6" s="12" t="s">
        <v>40</v>
      </c>
      <c r="J6" s="835"/>
      <c r="K6" s="835"/>
      <c r="L6" s="11" t="s">
        <v>44</v>
      </c>
      <c r="M6" s="13" t="s">
        <v>52</v>
      </c>
      <c r="N6" s="835"/>
      <c r="O6" s="835"/>
      <c r="P6" s="64"/>
    </row>
    <row r="7" spans="1:16" s="4" customFormat="1" ht="27.75" customHeight="1" x14ac:dyDescent="0.35">
      <c r="A7" s="833"/>
      <c r="B7" s="833"/>
      <c r="C7" s="833"/>
      <c r="D7" s="982"/>
      <c r="E7" s="833"/>
      <c r="F7" s="833"/>
      <c r="G7" s="12" t="s">
        <v>34</v>
      </c>
      <c r="H7" s="13" t="s">
        <v>38</v>
      </c>
      <c r="I7" s="12" t="s">
        <v>41</v>
      </c>
      <c r="J7" s="835"/>
      <c r="K7" s="835"/>
      <c r="L7" s="10" t="s">
        <v>45</v>
      </c>
      <c r="M7" s="13" t="s">
        <v>50</v>
      </c>
      <c r="N7" s="835"/>
      <c r="O7" s="835"/>
      <c r="P7" s="64"/>
    </row>
    <row r="8" spans="1:16" s="4" customFormat="1" ht="39.75" customHeight="1" x14ac:dyDescent="0.35">
      <c r="A8" s="834"/>
      <c r="B8" s="834"/>
      <c r="C8" s="834"/>
      <c r="D8" s="983"/>
      <c r="E8" s="834"/>
      <c r="F8" s="834"/>
      <c r="G8" s="47" t="s">
        <v>36</v>
      </c>
      <c r="H8" s="48" t="s">
        <v>39</v>
      </c>
      <c r="I8" s="47" t="s">
        <v>42</v>
      </c>
      <c r="J8" s="835"/>
      <c r="K8" s="835"/>
      <c r="L8" s="42" t="s">
        <v>46</v>
      </c>
      <c r="M8" s="48" t="s">
        <v>51</v>
      </c>
      <c r="N8" s="835"/>
      <c r="O8" s="835"/>
      <c r="P8" s="64"/>
    </row>
    <row r="9" spans="1:16" ht="51" customHeight="1" x14ac:dyDescent="0.25">
      <c r="A9" s="962" t="s">
        <v>143</v>
      </c>
      <c r="B9" s="962"/>
      <c r="C9" s="956" t="s">
        <v>110</v>
      </c>
      <c r="D9" s="963" t="s">
        <v>898</v>
      </c>
      <c r="E9" s="958" t="s">
        <v>899</v>
      </c>
      <c r="F9" s="979" t="s">
        <v>900</v>
      </c>
      <c r="G9" s="898" t="s">
        <v>35</v>
      </c>
      <c r="H9" s="898"/>
      <c r="I9" s="898"/>
      <c r="J9" s="980" t="s">
        <v>901</v>
      </c>
      <c r="K9" s="981">
        <v>1</v>
      </c>
      <c r="L9" s="302" t="s">
        <v>44</v>
      </c>
      <c r="M9" s="303" t="s">
        <v>902</v>
      </c>
      <c r="N9" s="898" t="s">
        <v>149</v>
      </c>
      <c r="O9" s="898" t="s">
        <v>1126</v>
      </c>
      <c r="P9" s="455"/>
    </row>
    <row r="10" spans="1:16" ht="51" customHeight="1" x14ac:dyDescent="0.25">
      <c r="A10" s="962"/>
      <c r="B10" s="962"/>
      <c r="C10" s="956"/>
      <c r="D10" s="963"/>
      <c r="E10" s="958"/>
      <c r="F10" s="979"/>
      <c r="G10" s="898"/>
      <c r="H10" s="898"/>
      <c r="I10" s="898"/>
      <c r="J10" s="980"/>
      <c r="K10" s="981"/>
      <c r="L10" s="302" t="s">
        <v>46</v>
      </c>
      <c r="M10" s="304" t="s">
        <v>903</v>
      </c>
      <c r="N10" s="898"/>
      <c r="O10" s="898"/>
      <c r="P10" s="455"/>
    </row>
    <row r="11" spans="1:16" ht="51" customHeight="1" x14ac:dyDescent="0.25">
      <c r="A11" s="962"/>
      <c r="B11" s="962"/>
      <c r="C11" s="956" t="s">
        <v>110</v>
      </c>
      <c r="D11" s="957" t="s">
        <v>1109</v>
      </c>
      <c r="E11" s="958" t="s">
        <v>1110</v>
      </c>
      <c r="F11" s="959" t="s">
        <v>160</v>
      </c>
      <c r="G11" s="898" t="s">
        <v>904</v>
      </c>
      <c r="H11" s="898"/>
      <c r="I11" s="898"/>
      <c r="J11" s="960" t="s">
        <v>901</v>
      </c>
      <c r="K11" s="961" t="s">
        <v>73</v>
      </c>
      <c r="L11" s="302" t="s">
        <v>44</v>
      </c>
      <c r="M11" s="303" t="s">
        <v>73</v>
      </c>
      <c r="N11" s="898" t="s">
        <v>149</v>
      </c>
      <c r="O11" s="898" t="s">
        <v>1074</v>
      </c>
      <c r="P11" s="455"/>
    </row>
    <row r="12" spans="1:16" ht="51" customHeight="1" x14ac:dyDescent="0.25">
      <c r="A12" s="962"/>
      <c r="B12" s="962"/>
      <c r="C12" s="956"/>
      <c r="D12" s="957"/>
      <c r="E12" s="958"/>
      <c r="F12" s="959"/>
      <c r="G12" s="898"/>
      <c r="H12" s="898"/>
      <c r="I12" s="898"/>
      <c r="J12" s="960"/>
      <c r="K12" s="961"/>
      <c r="L12" s="305" t="s">
        <v>45</v>
      </c>
      <c r="M12" s="306" t="s">
        <v>161</v>
      </c>
      <c r="N12" s="898"/>
      <c r="O12" s="898"/>
      <c r="P12" s="455"/>
    </row>
    <row r="13" spans="1:16" ht="51" customHeight="1" x14ac:dyDescent="0.25">
      <c r="A13" s="962"/>
      <c r="B13" s="962"/>
      <c r="C13" s="956"/>
      <c r="D13" s="957"/>
      <c r="E13" s="958"/>
      <c r="F13" s="959"/>
      <c r="G13" s="898"/>
      <c r="H13" s="898"/>
      <c r="I13" s="898"/>
      <c r="J13" s="960"/>
      <c r="K13" s="961"/>
      <c r="L13" s="305" t="s">
        <v>46</v>
      </c>
      <c r="M13" s="304" t="s">
        <v>162</v>
      </c>
      <c r="N13" s="898"/>
      <c r="O13" s="898"/>
      <c r="P13" s="455"/>
    </row>
    <row r="14" spans="1:16" ht="51" customHeight="1" x14ac:dyDescent="0.25">
      <c r="A14" s="962"/>
      <c r="B14" s="962"/>
      <c r="C14" s="964" t="s">
        <v>67</v>
      </c>
      <c r="D14" s="963" t="s">
        <v>905</v>
      </c>
      <c r="E14" s="965" t="s">
        <v>906</v>
      </c>
      <c r="F14" s="966" t="s">
        <v>907</v>
      </c>
      <c r="G14" s="898" t="s">
        <v>34</v>
      </c>
      <c r="H14" s="898"/>
      <c r="I14" s="898"/>
      <c r="J14" s="960" t="s">
        <v>55</v>
      </c>
      <c r="K14" s="961" t="s">
        <v>73</v>
      </c>
      <c r="L14" s="302" t="s">
        <v>44</v>
      </c>
      <c r="M14" s="303" t="s">
        <v>73</v>
      </c>
      <c r="N14" s="898" t="s">
        <v>149</v>
      </c>
      <c r="O14" s="898" t="s">
        <v>1127</v>
      </c>
      <c r="P14" s="455"/>
    </row>
    <row r="15" spans="1:16" ht="51" customHeight="1" x14ac:dyDescent="0.25">
      <c r="A15" s="962"/>
      <c r="B15" s="962"/>
      <c r="C15" s="964"/>
      <c r="D15" s="963"/>
      <c r="E15" s="965"/>
      <c r="F15" s="966"/>
      <c r="G15" s="898"/>
      <c r="H15" s="898"/>
      <c r="I15" s="898"/>
      <c r="J15" s="960"/>
      <c r="K15" s="961"/>
      <c r="L15" s="302" t="s">
        <v>45</v>
      </c>
      <c r="M15" s="306" t="s">
        <v>161</v>
      </c>
      <c r="N15" s="898"/>
      <c r="O15" s="898"/>
      <c r="P15" s="455"/>
    </row>
    <row r="16" spans="1:16" ht="51" customHeight="1" x14ac:dyDescent="0.25">
      <c r="A16" s="962"/>
      <c r="B16" s="962"/>
      <c r="C16" s="964"/>
      <c r="D16" s="963"/>
      <c r="E16" s="965"/>
      <c r="F16" s="966"/>
      <c r="G16" s="898"/>
      <c r="H16" s="898"/>
      <c r="I16" s="898"/>
      <c r="J16" s="960"/>
      <c r="K16" s="961"/>
      <c r="L16" s="302" t="s">
        <v>46</v>
      </c>
      <c r="M16" s="304" t="s">
        <v>71</v>
      </c>
      <c r="N16" s="898"/>
      <c r="O16" s="898"/>
      <c r="P16" s="455"/>
    </row>
    <row r="17" spans="1:16" ht="51" customHeight="1" x14ac:dyDescent="0.25">
      <c r="A17" s="962"/>
      <c r="B17" s="962"/>
      <c r="C17" s="964" t="s">
        <v>67</v>
      </c>
      <c r="D17" s="963" t="s">
        <v>908</v>
      </c>
      <c r="E17" s="965" t="s">
        <v>906</v>
      </c>
      <c r="F17" s="966" t="s">
        <v>907</v>
      </c>
      <c r="G17" s="967" t="s">
        <v>34</v>
      </c>
      <c r="H17" s="968"/>
      <c r="I17" s="969"/>
      <c r="J17" s="976" t="s">
        <v>55</v>
      </c>
      <c r="K17" s="961" t="s">
        <v>73</v>
      </c>
      <c r="L17" s="302" t="s">
        <v>44</v>
      </c>
      <c r="M17" s="303" t="s">
        <v>73</v>
      </c>
      <c r="N17" s="898" t="s">
        <v>149</v>
      </c>
      <c r="O17" s="898" t="s">
        <v>1127</v>
      </c>
      <c r="P17" s="455"/>
    </row>
    <row r="18" spans="1:16" ht="51" customHeight="1" x14ac:dyDescent="0.25">
      <c r="A18" s="962"/>
      <c r="B18" s="962"/>
      <c r="C18" s="964"/>
      <c r="D18" s="963"/>
      <c r="E18" s="965"/>
      <c r="F18" s="966"/>
      <c r="G18" s="970"/>
      <c r="H18" s="971"/>
      <c r="I18" s="972"/>
      <c r="J18" s="977"/>
      <c r="K18" s="961"/>
      <c r="L18" s="302" t="s">
        <v>45</v>
      </c>
      <c r="M18" s="306" t="s">
        <v>161</v>
      </c>
      <c r="N18" s="898"/>
      <c r="O18" s="898"/>
      <c r="P18" s="455"/>
    </row>
    <row r="19" spans="1:16" ht="51" customHeight="1" x14ac:dyDescent="0.25">
      <c r="A19" s="962"/>
      <c r="B19" s="962"/>
      <c r="C19" s="964"/>
      <c r="D19" s="963"/>
      <c r="E19" s="965"/>
      <c r="F19" s="966"/>
      <c r="G19" s="973"/>
      <c r="H19" s="974"/>
      <c r="I19" s="975"/>
      <c r="J19" s="978"/>
      <c r="K19" s="961"/>
      <c r="L19" s="302" t="s">
        <v>46</v>
      </c>
      <c r="M19" s="304" t="s">
        <v>71</v>
      </c>
      <c r="N19" s="898"/>
      <c r="O19" s="898"/>
      <c r="P19" s="455"/>
    </row>
    <row r="20" spans="1:16" ht="60" customHeight="1" x14ac:dyDescent="0.25">
      <c r="A20" s="962"/>
      <c r="B20" s="962"/>
      <c r="C20" s="956" t="s">
        <v>67</v>
      </c>
      <c r="D20" s="963" t="s">
        <v>909</v>
      </c>
      <c r="E20" s="958" t="s">
        <v>910</v>
      </c>
      <c r="F20" s="959" t="s">
        <v>911</v>
      </c>
      <c r="G20" s="898" t="s">
        <v>912</v>
      </c>
      <c r="H20" s="898"/>
      <c r="I20" s="898"/>
      <c r="J20" s="960" t="s">
        <v>901</v>
      </c>
      <c r="K20" s="961" t="s">
        <v>73</v>
      </c>
      <c r="L20" s="305" t="s">
        <v>44</v>
      </c>
      <c r="M20" s="303" t="s">
        <v>73</v>
      </c>
      <c r="N20" s="898" t="s">
        <v>149</v>
      </c>
      <c r="O20" s="898" t="s">
        <v>1127</v>
      </c>
      <c r="P20" s="455"/>
    </row>
    <row r="21" spans="1:16" ht="52.5" customHeight="1" x14ac:dyDescent="0.25">
      <c r="A21" s="962"/>
      <c r="B21" s="962"/>
      <c r="C21" s="956"/>
      <c r="D21" s="963"/>
      <c r="E21" s="958"/>
      <c r="F21" s="959"/>
      <c r="G21" s="898"/>
      <c r="H21" s="898"/>
      <c r="I21" s="898"/>
      <c r="J21" s="960"/>
      <c r="K21" s="961"/>
      <c r="L21" s="305" t="s">
        <v>45</v>
      </c>
      <c r="M21" s="306" t="s">
        <v>161</v>
      </c>
      <c r="N21" s="898"/>
      <c r="O21" s="898"/>
      <c r="P21" s="455"/>
    </row>
    <row r="22" spans="1:16" ht="57.75" customHeight="1" x14ac:dyDescent="0.25">
      <c r="A22" s="962"/>
      <c r="B22" s="962"/>
      <c r="C22" s="956"/>
      <c r="D22" s="963"/>
      <c r="E22" s="958"/>
      <c r="F22" s="959"/>
      <c r="G22" s="898"/>
      <c r="H22" s="898"/>
      <c r="I22" s="898"/>
      <c r="J22" s="960"/>
      <c r="K22" s="961"/>
      <c r="L22" s="305" t="s">
        <v>46</v>
      </c>
      <c r="M22" s="304" t="s">
        <v>162</v>
      </c>
      <c r="N22" s="898"/>
      <c r="O22" s="898"/>
      <c r="P22" s="455"/>
    </row>
    <row r="23" spans="1:16" ht="51" customHeight="1" x14ac:dyDescent="0.25">
      <c r="A23" s="962"/>
      <c r="B23" s="962"/>
      <c r="C23" s="956" t="s">
        <v>67</v>
      </c>
      <c r="D23" s="963" t="s">
        <v>913</v>
      </c>
      <c r="E23" s="958" t="s">
        <v>914</v>
      </c>
      <c r="F23" s="959" t="s">
        <v>915</v>
      </c>
      <c r="G23" s="898" t="s">
        <v>34</v>
      </c>
      <c r="H23" s="898"/>
      <c r="I23" s="898"/>
      <c r="J23" s="960" t="s">
        <v>901</v>
      </c>
      <c r="K23" s="961">
        <v>1</v>
      </c>
      <c r="L23" s="305" t="s">
        <v>44</v>
      </c>
      <c r="M23" s="307" t="s">
        <v>916</v>
      </c>
      <c r="N23" s="898" t="s">
        <v>149</v>
      </c>
      <c r="O23" s="898" t="s">
        <v>1127</v>
      </c>
      <c r="P23" s="455"/>
    </row>
    <row r="24" spans="1:16" ht="51" customHeight="1" x14ac:dyDescent="0.25">
      <c r="A24" s="962"/>
      <c r="B24" s="962"/>
      <c r="C24" s="956"/>
      <c r="D24" s="963"/>
      <c r="E24" s="958"/>
      <c r="F24" s="959"/>
      <c r="G24" s="898"/>
      <c r="H24" s="898"/>
      <c r="I24" s="898"/>
      <c r="J24" s="960"/>
      <c r="K24" s="961"/>
      <c r="L24" s="305" t="s">
        <v>45</v>
      </c>
      <c r="M24" s="306" t="s">
        <v>60</v>
      </c>
      <c r="N24" s="898"/>
      <c r="O24" s="898"/>
      <c r="P24" s="455"/>
    </row>
    <row r="25" spans="1:16" ht="51" customHeight="1" x14ac:dyDescent="0.25">
      <c r="A25" s="962"/>
      <c r="B25" s="962"/>
      <c r="C25" s="956"/>
      <c r="D25" s="963"/>
      <c r="E25" s="958"/>
      <c r="F25" s="959"/>
      <c r="G25" s="898"/>
      <c r="H25" s="898"/>
      <c r="I25" s="898"/>
      <c r="J25" s="960"/>
      <c r="K25" s="961"/>
      <c r="L25" s="305" t="s">
        <v>46</v>
      </c>
      <c r="M25" s="304" t="s">
        <v>917</v>
      </c>
      <c r="N25" s="898"/>
      <c r="O25" s="898"/>
      <c r="P25" s="455"/>
    </row>
    <row r="26" spans="1:16" ht="74.25" customHeight="1" x14ac:dyDescent="0.25">
      <c r="A26" s="962"/>
      <c r="B26" s="962"/>
      <c r="C26" s="956" t="s">
        <v>53</v>
      </c>
      <c r="D26" s="957" t="s">
        <v>918</v>
      </c>
      <c r="E26" s="958" t="s">
        <v>802</v>
      </c>
      <c r="F26" s="959" t="s">
        <v>803</v>
      </c>
      <c r="G26" s="898" t="s">
        <v>912</v>
      </c>
      <c r="H26" s="898"/>
      <c r="I26" s="898"/>
      <c r="J26" s="960" t="s">
        <v>55</v>
      </c>
      <c r="K26" s="961" t="s">
        <v>57</v>
      </c>
      <c r="L26" s="302" t="s">
        <v>44</v>
      </c>
      <c r="M26" s="303" t="s">
        <v>57</v>
      </c>
      <c r="N26" s="898" t="s">
        <v>149</v>
      </c>
      <c r="O26" s="898" t="s">
        <v>1128</v>
      </c>
      <c r="P26" s="455"/>
    </row>
    <row r="27" spans="1:16" ht="74.25" customHeight="1" x14ac:dyDescent="0.25">
      <c r="A27" s="962"/>
      <c r="B27" s="962"/>
      <c r="C27" s="956"/>
      <c r="D27" s="957"/>
      <c r="E27" s="958"/>
      <c r="F27" s="959"/>
      <c r="G27" s="898"/>
      <c r="H27" s="898"/>
      <c r="I27" s="898"/>
      <c r="J27" s="960"/>
      <c r="K27" s="961"/>
      <c r="L27" s="302" t="s">
        <v>45</v>
      </c>
      <c r="M27" s="306" t="s">
        <v>117</v>
      </c>
      <c r="N27" s="898"/>
      <c r="O27" s="898"/>
      <c r="P27" s="455"/>
    </row>
    <row r="28" spans="1:16" ht="74.25" customHeight="1" x14ac:dyDescent="0.25">
      <c r="A28" s="962"/>
      <c r="B28" s="962"/>
      <c r="C28" s="956"/>
      <c r="D28" s="957"/>
      <c r="E28" s="958"/>
      <c r="F28" s="959"/>
      <c r="G28" s="898"/>
      <c r="H28" s="898"/>
      <c r="I28" s="898"/>
      <c r="J28" s="960"/>
      <c r="K28" s="961"/>
      <c r="L28" s="302" t="s">
        <v>46</v>
      </c>
      <c r="M28" s="304" t="s">
        <v>104</v>
      </c>
      <c r="N28" s="898"/>
      <c r="O28" s="898"/>
      <c r="P28" s="455"/>
    </row>
    <row r="29" spans="1:16" ht="51" customHeight="1" x14ac:dyDescent="0.25">
      <c r="A29" s="449"/>
      <c r="B29" s="449"/>
      <c r="C29" s="956" t="s">
        <v>53</v>
      </c>
      <c r="D29" s="957" t="s">
        <v>1103</v>
      </c>
      <c r="E29" s="958" t="s">
        <v>1104</v>
      </c>
      <c r="F29" s="959" t="s">
        <v>1105</v>
      </c>
      <c r="G29" s="898" t="s">
        <v>912</v>
      </c>
      <c r="H29" s="898"/>
      <c r="I29" s="898"/>
      <c r="J29" s="960" t="s">
        <v>63</v>
      </c>
      <c r="K29" s="961" t="s">
        <v>1106</v>
      </c>
      <c r="L29" s="302" t="s">
        <v>44</v>
      </c>
      <c r="M29" s="446" t="s">
        <v>1115</v>
      </c>
      <c r="N29" s="898" t="s">
        <v>1107</v>
      </c>
      <c r="O29" s="898" t="s">
        <v>1118</v>
      </c>
      <c r="P29" s="455"/>
    </row>
    <row r="30" spans="1:16" ht="51" customHeight="1" x14ac:dyDescent="0.25">
      <c r="A30" s="449"/>
      <c r="B30" s="449"/>
      <c r="C30" s="956"/>
      <c r="D30" s="957"/>
      <c r="E30" s="958"/>
      <c r="F30" s="959"/>
      <c r="G30" s="898"/>
      <c r="H30" s="898"/>
      <c r="I30" s="898"/>
      <c r="J30" s="960"/>
      <c r="K30" s="961"/>
      <c r="L30" s="302" t="s">
        <v>45</v>
      </c>
      <c r="M30" s="447" t="s">
        <v>1116</v>
      </c>
      <c r="N30" s="898"/>
      <c r="O30" s="898"/>
      <c r="P30" s="455"/>
    </row>
    <row r="31" spans="1:16" ht="51" customHeight="1" x14ac:dyDescent="0.25">
      <c r="A31" s="449"/>
      <c r="B31" s="449"/>
      <c r="C31" s="956"/>
      <c r="D31" s="957"/>
      <c r="E31" s="958"/>
      <c r="F31" s="959"/>
      <c r="G31" s="898"/>
      <c r="H31" s="898"/>
      <c r="I31" s="898"/>
      <c r="J31" s="960"/>
      <c r="K31" s="961"/>
      <c r="L31" s="302" t="s">
        <v>46</v>
      </c>
      <c r="M31" s="448" t="s">
        <v>1117</v>
      </c>
      <c r="N31" s="898"/>
      <c r="O31" s="898"/>
      <c r="P31" s="455"/>
    </row>
    <row r="32" spans="1:16" ht="51" customHeight="1" x14ac:dyDescent="0.25">
      <c r="A32" s="449"/>
      <c r="B32" s="449"/>
      <c r="C32" s="956" t="s">
        <v>67</v>
      </c>
      <c r="D32" s="957" t="s">
        <v>1111</v>
      </c>
      <c r="E32" s="958" t="s">
        <v>1112</v>
      </c>
      <c r="F32" s="959" t="s">
        <v>1113</v>
      </c>
      <c r="G32" s="898" t="s">
        <v>912</v>
      </c>
      <c r="H32" s="898"/>
      <c r="I32" s="898"/>
      <c r="J32" s="960" t="s">
        <v>63</v>
      </c>
      <c r="K32" s="961" t="s">
        <v>1114</v>
      </c>
      <c r="L32" s="302" t="s">
        <v>44</v>
      </c>
      <c r="M32" s="446" t="s">
        <v>858</v>
      </c>
      <c r="N32" s="898" t="s">
        <v>1107</v>
      </c>
      <c r="O32" s="898" t="s">
        <v>1108</v>
      </c>
      <c r="P32" s="455"/>
    </row>
    <row r="33" spans="1:19" ht="51" customHeight="1" x14ac:dyDescent="0.25">
      <c r="A33" s="449"/>
      <c r="B33" s="449"/>
      <c r="C33" s="956"/>
      <c r="D33" s="957"/>
      <c r="E33" s="958"/>
      <c r="F33" s="959"/>
      <c r="G33" s="898"/>
      <c r="H33" s="898"/>
      <c r="I33" s="898"/>
      <c r="J33" s="960"/>
      <c r="K33" s="961"/>
      <c r="L33" s="302" t="s">
        <v>45</v>
      </c>
      <c r="M33" s="447" t="s">
        <v>859</v>
      </c>
      <c r="N33" s="898"/>
      <c r="O33" s="898"/>
      <c r="P33" s="455"/>
    </row>
    <row r="34" spans="1:19" ht="51" customHeight="1" x14ac:dyDescent="0.25">
      <c r="A34" s="449"/>
      <c r="B34" s="449"/>
      <c r="C34" s="956"/>
      <c r="D34" s="957"/>
      <c r="E34" s="958"/>
      <c r="F34" s="959"/>
      <c r="G34" s="898"/>
      <c r="H34" s="898"/>
      <c r="I34" s="898"/>
      <c r="J34" s="960"/>
      <c r="K34" s="961"/>
      <c r="L34" s="302" t="s">
        <v>46</v>
      </c>
      <c r="M34" s="448" t="s">
        <v>720</v>
      </c>
      <c r="N34" s="898"/>
      <c r="O34" s="898"/>
      <c r="P34" s="455"/>
    </row>
    <row r="35" spans="1:19" ht="52.5" customHeight="1" x14ac:dyDescent="0.25">
      <c r="A35" s="455"/>
      <c r="B35" s="455"/>
      <c r="C35" s="898" t="s">
        <v>67</v>
      </c>
      <c r="D35" s="984" t="s">
        <v>1119</v>
      </c>
      <c r="E35" s="898" t="s">
        <v>1121</v>
      </c>
      <c r="F35" s="985" t="s">
        <v>1122</v>
      </c>
      <c r="G35" s="898" t="s">
        <v>34</v>
      </c>
      <c r="H35" s="898"/>
      <c r="I35" s="898"/>
      <c r="J35" s="898" t="s">
        <v>63</v>
      </c>
      <c r="K35" s="986" t="s">
        <v>1120</v>
      </c>
      <c r="L35" s="450" t="s">
        <v>44</v>
      </c>
      <c r="M35" s="444" t="s">
        <v>1123</v>
      </c>
      <c r="N35" s="898" t="s">
        <v>58</v>
      </c>
      <c r="O35" s="898" t="s">
        <v>1108</v>
      </c>
    </row>
    <row r="36" spans="1:19" ht="52.5" customHeight="1" x14ac:dyDescent="0.25">
      <c r="A36" s="455"/>
      <c r="B36" s="455"/>
      <c r="C36" s="898"/>
      <c r="D36" s="984"/>
      <c r="E36" s="898"/>
      <c r="F36" s="985"/>
      <c r="G36" s="898"/>
      <c r="H36" s="898"/>
      <c r="I36" s="898"/>
      <c r="J36" s="898"/>
      <c r="K36" s="986"/>
      <c r="L36" s="450" t="s">
        <v>45</v>
      </c>
      <c r="M36" s="439" t="s">
        <v>1124</v>
      </c>
      <c r="N36" s="898"/>
      <c r="O36" s="898"/>
    </row>
    <row r="37" spans="1:19" ht="52.5" customHeight="1" x14ac:dyDescent="0.25">
      <c r="A37" s="455"/>
      <c r="B37" s="455"/>
      <c r="C37" s="898"/>
      <c r="D37" s="984"/>
      <c r="E37" s="898"/>
      <c r="F37" s="985"/>
      <c r="G37" s="898"/>
      <c r="H37" s="898"/>
      <c r="I37" s="898"/>
      <c r="J37" s="898"/>
      <c r="K37" s="986"/>
      <c r="L37" s="450" t="s">
        <v>46</v>
      </c>
      <c r="M37" s="445" t="s">
        <v>1125</v>
      </c>
      <c r="N37" s="898"/>
      <c r="O37" s="898"/>
    </row>
    <row r="38" spans="1:19" x14ac:dyDescent="0.25">
      <c r="A38" s="3"/>
      <c r="B38" s="3"/>
    </row>
    <row r="40" spans="1:19" ht="33" customHeight="1" x14ac:dyDescent="0.25">
      <c r="A40" s="885" t="str">
        <f>+D9</f>
        <v xml:space="preserve">Tiempo promedio de trámite para la resolución de autorizaciones ambientales otorgadas por la corporación </v>
      </c>
      <c r="B40" s="885"/>
      <c r="C40" s="885"/>
      <c r="D40" s="885"/>
      <c r="E40" s="885"/>
      <c r="F40" s="885"/>
      <c r="G40" s="885"/>
      <c r="H40" s="885"/>
      <c r="I40" s="885"/>
      <c r="J40" s="885"/>
      <c r="K40" s="885"/>
      <c r="L40" s="885"/>
      <c r="M40" s="885"/>
      <c r="N40" s="885"/>
      <c r="O40" s="885"/>
      <c r="P40" s="885"/>
      <c r="Q40" s="885"/>
      <c r="R40" s="885"/>
      <c r="S40" s="885"/>
    </row>
    <row r="41" spans="1:19" x14ac:dyDescent="0.25">
      <c r="A41" s="5"/>
    </row>
    <row r="42" spans="1:19" x14ac:dyDescent="0.25">
      <c r="A42" s="5"/>
      <c r="G42" s="28"/>
      <c r="I42" s="309"/>
      <c r="J42" s="309"/>
      <c r="K42" s="309"/>
      <c r="L42" s="309"/>
    </row>
    <row r="43" spans="1:19" s="316" customFormat="1" ht="11.5" x14ac:dyDescent="0.25">
      <c r="A43" s="950" t="s">
        <v>919</v>
      </c>
      <c r="B43" s="310" t="s">
        <v>920</v>
      </c>
      <c r="C43" s="311"/>
      <c r="D43" s="312" t="s">
        <v>921</v>
      </c>
      <c r="E43" s="313" t="s">
        <v>922</v>
      </c>
      <c r="F43" s="313" t="s">
        <v>923</v>
      </c>
      <c r="G43" s="313" t="s">
        <v>924</v>
      </c>
      <c r="H43" s="314"/>
      <c r="I43" s="315"/>
    </row>
    <row r="44" spans="1:19" s="316" customFormat="1" ht="23" x14ac:dyDescent="0.25">
      <c r="A44" s="950"/>
      <c r="B44" s="310"/>
      <c r="C44" s="311"/>
      <c r="D44" s="317" t="s">
        <v>925</v>
      </c>
      <c r="E44" s="466" t="s">
        <v>926</v>
      </c>
      <c r="F44" s="317" t="s">
        <v>926</v>
      </c>
      <c r="G44" s="317" t="s">
        <v>926</v>
      </c>
      <c r="H44" s="314"/>
      <c r="I44" s="315"/>
    </row>
    <row r="45" spans="1:19" s="316" customFormat="1" ht="11.5" x14ac:dyDescent="0.25">
      <c r="A45" s="951" t="s">
        <v>927</v>
      </c>
      <c r="B45" s="954" t="s">
        <v>928</v>
      </c>
      <c r="C45" s="311" t="s">
        <v>929</v>
      </c>
      <c r="D45" s="318">
        <v>175</v>
      </c>
      <c r="E45" s="467"/>
      <c r="F45" s="319"/>
      <c r="G45" s="320"/>
      <c r="H45" s="314"/>
      <c r="I45" s="315"/>
    </row>
    <row r="46" spans="1:19" s="316" customFormat="1" ht="11.5" x14ac:dyDescent="0.25">
      <c r="A46" s="952"/>
      <c r="B46" s="954"/>
      <c r="C46" s="311" t="s">
        <v>930</v>
      </c>
      <c r="D46" s="321">
        <f>191+168</f>
        <v>359</v>
      </c>
      <c r="E46" s="467"/>
      <c r="F46" s="319"/>
      <c r="G46" s="320"/>
      <c r="H46" s="314"/>
      <c r="I46" s="315"/>
    </row>
    <row r="47" spans="1:19" s="316" customFormat="1" ht="11.5" x14ac:dyDescent="0.25">
      <c r="A47" s="952"/>
      <c r="B47" s="954"/>
      <c r="C47" s="311" t="s">
        <v>931</v>
      </c>
      <c r="D47" s="322">
        <v>0</v>
      </c>
      <c r="E47" s="467"/>
      <c r="F47" s="319"/>
      <c r="G47" s="320"/>
      <c r="H47" s="314"/>
      <c r="I47" s="315"/>
    </row>
    <row r="48" spans="1:19" s="316" customFormat="1" ht="11.5" x14ac:dyDescent="0.25">
      <c r="A48" s="952"/>
      <c r="B48" s="954"/>
      <c r="C48" s="311" t="s">
        <v>932</v>
      </c>
      <c r="D48" s="318"/>
      <c r="E48" s="467"/>
      <c r="F48" s="319"/>
      <c r="G48" s="320"/>
      <c r="H48" s="314"/>
      <c r="I48" s="315"/>
    </row>
    <row r="49" spans="1:9" s="316" customFormat="1" ht="11.5" x14ac:dyDescent="0.25">
      <c r="A49" s="952"/>
      <c r="B49" s="954"/>
      <c r="C49" s="323" t="s">
        <v>81</v>
      </c>
      <c r="D49" s="324">
        <f>SUM(D45:D48)</f>
        <v>534</v>
      </c>
      <c r="E49" s="325"/>
      <c r="F49" s="325"/>
      <c r="G49" s="326"/>
      <c r="H49" s="314"/>
      <c r="I49" s="315"/>
    </row>
    <row r="50" spans="1:9" s="316" customFormat="1" ht="11.5" x14ac:dyDescent="0.25">
      <c r="A50" s="952"/>
      <c r="B50" s="954" t="s">
        <v>933</v>
      </c>
      <c r="C50" s="311" t="s">
        <v>929</v>
      </c>
      <c r="D50" s="318">
        <v>1</v>
      </c>
      <c r="E50" s="467"/>
      <c r="F50" s="319"/>
      <c r="G50" s="320"/>
      <c r="H50" s="314"/>
      <c r="I50" s="315"/>
    </row>
    <row r="51" spans="1:9" s="316" customFormat="1" ht="11.5" x14ac:dyDescent="0.25">
      <c r="A51" s="952"/>
      <c r="B51" s="954"/>
      <c r="C51" s="311" t="s">
        <v>930</v>
      </c>
      <c r="D51" s="318">
        <v>2</v>
      </c>
      <c r="E51" s="467"/>
      <c r="F51" s="319"/>
      <c r="G51" s="320"/>
      <c r="H51" s="314"/>
      <c r="I51" s="315"/>
    </row>
    <row r="52" spans="1:9" s="316" customFormat="1" ht="11.5" x14ac:dyDescent="0.25">
      <c r="A52" s="952"/>
      <c r="B52" s="954"/>
      <c r="C52" s="311" t="s">
        <v>931</v>
      </c>
      <c r="D52" s="322">
        <v>0</v>
      </c>
      <c r="E52" s="467"/>
      <c r="F52" s="319"/>
      <c r="G52" s="320"/>
      <c r="H52" s="314"/>
      <c r="I52" s="315"/>
    </row>
    <row r="53" spans="1:9" s="316" customFormat="1" ht="11.5" x14ac:dyDescent="0.25">
      <c r="A53" s="952"/>
      <c r="B53" s="954"/>
      <c r="C53" s="311" t="s">
        <v>932</v>
      </c>
      <c r="D53" s="318"/>
      <c r="E53" s="467"/>
      <c r="F53" s="319"/>
      <c r="G53" s="320"/>
      <c r="H53" s="314"/>
      <c r="I53" s="315"/>
    </row>
    <row r="54" spans="1:9" s="316" customFormat="1" ht="11.5" x14ac:dyDescent="0.25">
      <c r="A54" s="952"/>
      <c r="B54" s="954"/>
      <c r="C54" s="323" t="s">
        <v>81</v>
      </c>
      <c r="D54" s="324">
        <f>SUM(D50:D53)</f>
        <v>3</v>
      </c>
      <c r="E54" s="325"/>
      <c r="F54" s="325"/>
      <c r="G54" s="326"/>
      <c r="H54" s="314"/>
      <c r="I54" s="315"/>
    </row>
    <row r="55" spans="1:9" s="316" customFormat="1" ht="14.25" customHeight="1" x14ac:dyDescent="0.25">
      <c r="A55" s="952"/>
      <c r="B55" s="954" t="s">
        <v>934</v>
      </c>
      <c r="C55" s="311" t="s">
        <v>929</v>
      </c>
      <c r="D55" s="318">
        <f>+D45/D50</f>
        <v>175</v>
      </c>
      <c r="E55" s="467"/>
      <c r="F55" s="319"/>
      <c r="G55" s="319"/>
      <c r="H55" s="327"/>
      <c r="I55" s="327"/>
    </row>
    <row r="56" spans="1:9" s="316" customFormat="1" ht="11.5" x14ac:dyDescent="0.25">
      <c r="A56" s="952"/>
      <c r="B56" s="954"/>
      <c r="C56" s="311" t="s">
        <v>930</v>
      </c>
      <c r="D56" s="318">
        <f>+D46/D51</f>
        <v>179.5</v>
      </c>
      <c r="E56" s="467"/>
      <c r="F56" s="319"/>
      <c r="G56" s="319"/>
      <c r="H56" s="327"/>
      <c r="I56" s="327"/>
    </row>
    <row r="57" spans="1:9" s="316" customFormat="1" ht="11.5" x14ac:dyDescent="0.25">
      <c r="A57" s="952"/>
      <c r="B57" s="954"/>
      <c r="C57" s="311" t="s">
        <v>931</v>
      </c>
      <c r="D57" s="318"/>
      <c r="E57" s="467"/>
      <c r="F57" s="319"/>
      <c r="G57" s="319"/>
      <c r="H57" s="327"/>
      <c r="I57" s="327"/>
    </row>
    <row r="58" spans="1:9" s="316" customFormat="1" ht="11.5" x14ac:dyDescent="0.25">
      <c r="A58" s="952"/>
      <c r="B58" s="954"/>
      <c r="C58" s="311" t="s">
        <v>932</v>
      </c>
      <c r="D58" s="318"/>
      <c r="E58" s="467"/>
      <c r="F58" s="319"/>
      <c r="G58" s="319"/>
      <c r="H58" s="327"/>
      <c r="I58" s="327"/>
    </row>
    <row r="59" spans="1:9" s="316" customFormat="1" ht="11.5" x14ac:dyDescent="0.25">
      <c r="A59" s="953"/>
      <c r="B59" s="955"/>
      <c r="C59" s="323" t="s">
        <v>81</v>
      </c>
      <c r="D59" s="324">
        <f>+D49/D54</f>
        <v>178</v>
      </c>
      <c r="E59" s="325"/>
      <c r="F59" s="325"/>
      <c r="G59" s="326"/>
      <c r="H59" s="327"/>
      <c r="I59" s="327"/>
    </row>
    <row r="60" spans="1:9" s="316" customFormat="1" ht="11.5" x14ac:dyDescent="0.25">
      <c r="A60" s="941" t="s">
        <v>935</v>
      </c>
      <c r="B60" s="942" t="s">
        <v>936</v>
      </c>
      <c r="C60" s="311" t="s">
        <v>929</v>
      </c>
      <c r="D60" s="328">
        <f>108+183</f>
        <v>291</v>
      </c>
      <c r="E60" s="319">
        <v>526</v>
      </c>
      <c r="F60" s="311"/>
      <c r="G60" s="311"/>
      <c r="H60" s="327"/>
      <c r="I60" s="327"/>
    </row>
    <row r="61" spans="1:9" s="316" customFormat="1" ht="12" customHeight="1" x14ac:dyDescent="0.25">
      <c r="A61" s="941"/>
      <c r="B61" s="943"/>
      <c r="C61" s="311" t="s">
        <v>930</v>
      </c>
      <c r="D61" s="328">
        <f>619+30</f>
        <v>649</v>
      </c>
      <c r="E61" s="319">
        <v>640</v>
      </c>
      <c r="F61" s="311"/>
      <c r="G61" s="311"/>
      <c r="H61" s="327"/>
      <c r="I61" s="327"/>
    </row>
    <row r="62" spans="1:9" s="316" customFormat="1" ht="12" customHeight="1" x14ac:dyDescent="0.25">
      <c r="A62" s="941"/>
      <c r="B62" s="943"/>
      <c r="C62" s="311" t="s">
        <v>931</v>
      </c>
      <c r="D62" s="328">
        <f>400+732</f>
        <v>1132</v>
      </c>
      <c r="E62" s="319">
        <v>1263</v>
      </c>
      <c r="F62" s="311"/>
      <c r="G62" s="311"/>
      <c r="H62" s="327"/>
      <c r="I62" s="327"/>
    </row>
    <row r="63" spans="1:9" s="316" customFormat="1" ht="12" customHeight="1" x14ac:dyDescent="0.25">
      <c r="A63" s="941"/>
      <c r="B63" s="943"/>
      <c r="C63" s="311" t="s">
        <v>932</v>
      </c>
      <c r="D63" s="328"/>
      <c r="E63" s="319"/>
      <c r="F63" s="311"/>
      <c r="G63" s="311"/>
      <c r="H63" s="327"/>
      <c r="I63" s="327"/>
    </row>
    <row r="64" spans="1:9" s="316" customFormat="1" ht="12" customHeight="1" x14ac:dyDescent="0.25">
      <c r="A64" s="941"/>
      <c r="B64" s="944"/>
      <c r="C64" s="329" t="s">
        <v>81</v>
      </c>
      <c r="D64" s="330">
        <f>SUM(D60:D63)</f>
        <v>2072</v>
      </c>
      <c r="E64" s="325">
        <f>SUM(E60:E63)</f>
        <v>2429</v>
      </c>
      <c r="F64" s="323"/>
      <c r="G64" s="323"/>
      <c r="H64" s="327"/>
      <c r="I64" s="327"/>
    </row>
    <row r="65" spans="1:9" x14ac:dyDescent="0.25">
      <c r="A65" s="941"/>
      <c r="B65" s="945" t="s">
        <v>937</v>
      </c>
      <c r="C65" s="311" t="s">
        <v>929</v>
      </c>
      <c r="D65" s="460">
        <v>4</v>
      </c>
      <c r="E65" s="459">
        <v>8</v>
      </c>
      <c r="F65" s="331"/>
      <c r="G65" s="331"/>
      <c r="H65" s="28"/>
      <c r="I65" s="28"/>
    </row>
    <row r="66" spans="1:9" x14ac:dyDescent="0.25">
      <c r="A66" s="941"/>
      <c r="B66" s="945"/>
      <c r="C66" s="311" t="s">
        <v>930</v>
      </c>
      <c r="D66" s="460">
        <v>15</v>
      </c>
      <c r="E66" s="459">
        <v>19</v>
      </c>
      <c r="F66" s="331"/>
      <c r="G66" s="331"/>
      <c r="H66" s="28"/>
      <c r="I66" s="28"/>
    </row>
    <row r="67" spans="1:9" x14ac:dyDescent="0.25">
      <c r="A67" s="941"/>
      <c r="B67" s="945"/>
      <c r="C67" s="311" t="s">
        <v>931</v>
      </c>
      <c r="D67" s="460">
        <f>14+7</f>
        <v>21</v>
      </c>
      <c r="E67" s="459">
        <v>32</v>
      </c>
      <c r="F67" s="331"/>
      <c r="G67" s="331"/>
      <c r="H67" s="28"/>
      <c r="I67" s="28"/>
    </row>
    <row r="68" spans="1:9" x14ac:dyDescent="0.25">
      <c r="A68" s="941"/>
      <c r="B68" s="945"/>
      <c r="C68" s="311" t="s">
        <v>932</v>
      </c>
      <c r="D68" s="460"/>
      <c r="E68" s="459"/>
      <c r="F68" s="331"/>
      <c r="G68" s="331"/>
      <c r="H68" s="28"/>
      <c r="I68" s="28"/>
    </row>
    <row r="69" spans="1:9" x14ac:dyDescent="0.25">
      <c r="A69" s="941"/>
      <c r="B69" s="945"/>
      <c r="C69" s="329" t="s">
        <v>81</v>
      </c>
      <c r="D69" s="332">
        <f>SUM(D65:D68)</f>
        <v>40</v>
      </c>
      <c r="E69" s="468">
        <f>SUM(E65:E68)</f>
        <v>59</v>
      </c>
      <c r="F69" s="333"/>
      <c r="G69" s="331"/>
      <c r="H69" s="28"/>
      <c r="I69" s="28"/>
    </row>
    <row r="70" spans="1:9" x14ac:dyDescent="0.25">
      <c r="A70" s="941"/>
      <c r="B70" s="945" t="s">
        <v>938</v>
      </c>
      <c r="C70" s="311" t="s">
        <v>929</v>
      </c>
      <c r="D70" s="334">
        <f t="shared" ref="D70:E72" si="0">+D60/D65</f>
        <v>72.75</v>
      </c>
      <c r="E70" s="334">
        <f t="shared" si="0"/>
        <v>65.75</v>
      </c>
      <c r="F70" s="331"/>
      <c r="G70" s="331"/>
      <c r="H70" s="28"/>
      <c r="I70" s="28"/>
    </row>
    <row r="71" spans="1:9" x14ac:dyDescent="0.25">
      <c r="A71" s="941"/>
      <c r="B71" s="945"/>
      <c r="C71" s="311" t="s">
        <v>930</v>
      </c>
      <c r="D71" s="334">
        <f t="shared" si="0"/>
        <v>43.266666666666666</v>
      </c>
      <c r="E71" s="334">
        <f t="shared" si="0"/>
        <v>33.684210526315788</v>
      </c>
      <c r="F71" s="331"/>
      <c r="G71" s="331"/>
      <c r="H71" s="28"/>
      <c r="I71" s="28"/>
    </row>
    <row r="72" spans="1:9" x14ac:dyDescent="0.25">
      <c r="A72" s="941"/>
      <c r="B72" s="945"/>
      <c r="C72" s="311" t="s">
        <v>931</v>
      </c>
      <c r="D72" s="334">
        <f t="shared" si="0"/>
        <v>53.904761904761905</v>
      </c>
      <c r="E72" s="334">
        <f t="shared" si="0"/>
        <v>39.46875</v>
      </c>
      <c r="F72" s="331"/>
      <c r="G72" s="331"/>
      <c r="H72" s="28"/>
      <c r="I72" s="28"/>
    </row>
    <row r="73" spans="1:9" x14ac:dyDescent="0.25">
      <c r="A73" s="941"/>
      <c r="B73" s="945"/>
      <c r="C73" s="311" t="s">
        <v>932</v>
      </c>
      <c r="D73" s="334"/>
      <c r="E73" s="331"/>
      <c r="F73" s="331"/>
      <c r="G73" s="331"/>
      <c r="H73" s="28"/>
      <c r="I73" s="28"/>
    </row>
    <row r="74" spans="1:9" x14ac:dyDescent="0.25">
      <c r="A74" s="941"/>
      <c r="B74" s="945"/>
      <c r="C74" s="329" t="s">
        <v>81</v>
      </c>
      <c r="D74" s="332">
        <f>+D64/D69</f>
        <v>51.8</v>
      </c>
      <c r="E74" s="469">
        <f>+E64/E69</f>
        <v>41.16949152542373</v>
      </c>
      <c r="F74" s="333"/>
      <c r="G74" s="333"/>
      <c r="H74" s="28"/>
      <c r="I74" s="28"/>
    </row>
    <row r="75" spans="1:9" ht="14.25" customHeight="1" x14ac:dyDescent="0.25">
      <c r="A75" s="947" t="s">
        <v>939</v>
      </c>
      <c r="B75" s="942" t="s">
        <v>940</v>
      </c>
      <c r="C75" s="311" t="s">
        <v>929</v>
      </c>
      <c r="D75" s="334">
        <v>422</v>
      </c>
      <c r="E75" s="459">
        <v>474</v>
      </c>
      <c r="F75" s="331"/>
      <c r="G75" s="331"/>
      <c r="H75" s="28"/>
      <c r="I75" s="28"/>
    </row>
    <row r="76" spans="1:9" x14ac:dyDescent="0.25">
      <c r="A76" s="948"/>
      <c r="B76" s="943"/>
      <c r="C76" s="311" t="s">
        <v>930</v>
      </c>
      <c r="D76" s="334">
        <v>987</v>
      </c>
      <c r="E76" s="459">
        <v>3331</v>
      </c>
      <c r="F76" s="331"/>
      <c r="G76" s="331"/>
      <c r="H76" s="28"/>
      <c r="I76" s="28"/>
    </row>
    <row r="77" spans="1:9" x14ac:dyDescent="0.25">
      <c r="A77" s="948"/>
      <c r="B77" s="943"/>
      <c r="C77" s="311" t="s">
        <v>931</v>
      </c>
      <c r="D77" s="334">
        <v>699</v>
      </c>
      <c r="E77" s="459">
        <v>3293</v>
      </c>
      <c r="F77" s="331"/>
      <c r="G77" s="331"/>
      <c r="H77" s="28"/>
      <c r="I77" s="28"/>
    </row>
    <row r="78" spans="1:9" x14ac:dyDescent="0.25">
      <c r="A78" s="948"/>
      <c r="B78" s="943"/>
      <c r="C78" s="311" t="s">
        <v>932</v>
      </c>
      <c r="D78" s="334"/>
      <c r="E78" s="459"/>
      <c r="F78" s="331"/>
      <c r="G78" s="331"/>
      <c r="H78" s="28"/>
      <c r="I78" s="28"/>
    </row>
    <row r="79" spans="1:9" x14ac:dyDescent="0.25">
      <c r="A79" s="948"/>
      <c r="B79" s="944"/>
      <c r="C79" s="323" t="s">
        <v>81</v>
      </c>
      <c r="D79" s="335">
        <f>SUM(D75:D78)</f>
        <v>2108</v>
      </c>
      <c r="E79" s="468">
        <f>SUM(E75:E78)</f>
        <v>7098</v>
      </c>
      <c r="F79" s="333"/>
      <c r="G79" s="333"/>
      <c r="H79" s="28"/>
      <c r="I79" s="28"/>
    </row>
    <row r="80" spans="1:9" x14ac:dyDescent="0.25">
      <c r="A80" s="948"/>
      <c r="B80" s="942" t="s">
        <v>941</v>
      </c>
      <c r="C80" s="311" t="s">
        <v>929</v>
      </c>
      <c r="D80" s="334">
        <v>5</v>
      </c>
      <c r="E80" s="459">
        <v>6</v>
      </c>
      <c r="F80" s="331"/>
      <c r="G80" s="331"/>
      <c r="H80" s="28"/>
      <c r="I80" s="28"/>
    </row>
    <row r="81" spans="1:9" x14ac:dyDescent="0.25">
      <c r="A81" s="948"/>
      <c r="B81" s="943"/>
      <c r="C81" s="311" t="s">
        <v>930</v>
      </c>
      <c r="D81" s="334">
        <v>8</v>
      </c>
      <c r="E81" s="459">
        <v>33</v>
      </c>
      <c r="F81" s="331"/>
      <c r="G81" s="331"/>
      <c r="H81" s="28"/>
      <c r="I81" s="28"/>
    </row>
    <row r="82" spans="1:9" x14ac:dyDescent="0.25">
      <c r="A82" s="948"/>
      <c r="B82" s="943"/>
      <c r="C82" s="311" t="s">
        <v>931</v>
      </c>
      <c r="D82" s="334">
        <v>10</v>
      </c>
      <c r="E82" s="459">
        <v>34</v>
      </c>
      <c r="F82" s="331"/>
      <c r="G82" s="331"/>
      <c r="H82" s="28"/>
      <c r="I82" s="28"/>
    </row>
    <row r="83" spans="1:9" x14ac:dyDescent="0.25">
      <c r="A83" s="948"/>
      <c r="B83" s="943"/>
      <c r="C83" s="311" t="s">
        <v>932</v>
      </c>
      <c r="D83" s="334"/>
      <c r="E83" s="459"/>
      <c r="F83" s="331"/>
      <c r="G83" s="331"/>
      <c r="H83" s="28"/>
      <c r="I83" s="28"/>
    </row>
    <row r="84" spans="1:9" x14ac:dyDescent="0.25">
      <c r="A84" s="948"/>
      <c r="B84" s="944"/>
      <c r="C84" s="323" t="s">
        <v>81</v>
      </c>
      <c r="D84" s="335">
        <f>SUM(D80:D83)</f>
        <v>23</v>
      </c>
      <c r="E84" s="468">
        <f>SUM(E80:E83)</f>
        <v>73</v>
      </c>
      <c r="F84" s="333"/>
      <c r="G84" s="333"/>
      <c r="H84" s="28"/>
      <c r="I84" s="28"/>
    </row>
    <row r="85" spans="1:9" x14ac:dyDescent="0.25">
      <c r="A85" s="948"/>
      <c r="B85" s="942" t="s">
        <v>942</v>
      </c>
      <c r="C85" s="311" t="s">
        <v>929</v>
      </c>
      <c r="D85" s="334">
        <f t="shared" ref="D85:E87" si="1">+D75/D80</f>
        <v>84.4</v>
      </c>
      <c r="E85" s="334">
        <f t="shared" si="1"/>
        <v>79</v>
      </c>
      <c r="F85" s="331"/>
      <c r="G85" s="331"/>
      <c r="H85" s="28"/>
      <c r="I85" s="28"/>
    </row>
    <row r="86" spans="1:9" x14ac:dyDescent="0.25">
      <c r="A86" s="948"/>
      <c r="B86" s="943"/>
      <c r="C86" s="311" t="s">
        <v>930</v>
      </c>
      <c r="D86" s="334">
        <f t="shared" si="1"/>
        <v>123.375</v>
      </c>
      <c r="E86" s="334">
        <f t="shared" si="1"/>
        <v>100.93939393939394</v>
      </c>
      <c r="F86" s="331"/>
      <c r="G86" s="331"/>
      <c r="H86" s="28"/>
      <c r="I86" s="28"/>
    </row>
    <row r="87" spans="1:9" x14ac:dyDescent="0.25">
      <c r="A87" s="948"/>
      <c r="B87" s="943"/>
      <c r="C87" s="311" t="s">
        <v>931</v>
      </c>
      <c r="D87" s="334">
        <f t="shared" si="1"/>
        <v>69.900000000000006</v>
      </c>
      <c r="E87" s="334">
        <f t="shared" si="1"/>
        <v>96.852941176470594</v>
      </c>
      <c r="F87" s="331"/>
      <c r="G87" s="331"/>
      <c r="H87" s="28"/>
      <c r="I87" s="28"/>
    </row>
    <row r="88" spans="1:9" x14ac:dyDescent="0.25">
      <c r="A88" s="948"/>
      <c r="B88" s="943"/>
      <c r="C88" s="311" t="s">
        <v>932</v>
      </c>
      <c r="D88" s="334"/>
      <c r="E88" s="459"/>
      <c r="F88" s="331"/>
      <c r="G88" s="331"/>
      <c r="H88" s="28"/>
      <c r="I88" s="28"/>
    </row>
    <row r="89" spans="1:9" x14ac:dyDescent="0.25">
      <c r="A89" s="949"/>
      <c r="B89" s="944"/>
      <c r="C89" s="323" t="s">
        <v>81</v>
      </c>
      <c r="D89" s="470">
        <f>+D79/D84</f>
        <v>91.652173913043484</v>
      </c>
      <c r="E89" s="470">
        <f>+E79/E84</f>
        <v>97.232876712328761</v>
      </c>
      <c r="F89" s="325"/>
      <c r="G89" s="325"/>
      <c r="H89" s="28"/>
      <c r="I89" s="28"/>
    </row>
    <row r="90" spans="1:9" x14ac:dyDescent="0.25">
      <c r="A90" s="941" t="s">
        <v>943</v>
      </c>
      <c r="B90" s="942" t="s">
        <v>1144</v>
      </c>
      <c r="C90" s="311" t="s">
        <v>929</v>
      </c>
      <c r="D90" s="334">
        <v>166</v>
      </c>
      <c r="E90" s="459">
        <v>305</v>
      </c>
      <c r="F90" s="331"/>
      <c r="G90" s="331"/>
      <c r="H90" s="28"/>
      <c r="I90" s="28"/>
    </row>
    <row r="91" spans="1:9" x14ac:dyDescent="0.25">
      <c r="A91" s="941"/>
      <c r="B91" s="943"/>
      <c r="C91" s="311" t="s">
        <v>930</v>
      </c>
      <c r="D91" s="334">
        <v>474</v>
      </c>
      <c r="E91" s="459">
        <v>374</v>
      </c>
      <c r="F91" s="331"/>
      <c r="G91" s="331"/>
      <c r="H91" s="28"/>
      <c r="I91" s="28"/>
    </row>
    <row r="92" spans="1:9" x14ac:dyDescent="0.25">
      <c r="A92" s="941"/>
      <c r="B92" s="943"/>
      <c r="C92" s="311" t="s">
        <v>931</v>
      </c>
      <c r="D92" s="460">
        <v>443</v>
      </c>
      <c r="E92" s="459">
        <v>116</v>
      </c>
      <c r="F92" s="331"/>
      <c r="G92" s="331"/>
      <c r="H92" s="28"/>
      <c r="I92" s="28"/>
    </row>
    <row r="93" spans="1:9" x14ac:dyDescent="0.25">
      <c r="A93" s="941"/>
      <c r="B93" s="943"/>
      <c r="C93" s="311" t="s">
        <v>932</v>
      </c>
      <c r="D93" s="460"/>
      <c r="E93" s="459"/>
      <c r="F93" s="331"/>
      <c r="G93" s="331"/>
      <c r="H93" s="28"/>
      <c r="I93" s="28"/>
    </row>
    <row r="94" spans="1:9" x14ac:dyDescent="0.25">
      <c r="A94" s="941"/>
      <c r="B94" s="944"/>
      <c r="C94" s="323" t="s">
        <v>81</v>
      </c>
      <c r="D94" s="335">
        <f>SUM(D90:D93)</f>
        <v>1083</v>
      </c>
      <c r="E94" s="468">
        <f>SUM(E90:E93)</f>
        <v>795</v>
      </c>
      <c r="F94" s="333"/>
      <c r="G94" s="333"/>
      <c r="H94" s="28"/>
      <c r="I94" s="28"/>
    </row>
    <row r="95" spans="1:9" x14ac:dyDescent="0.25">
      <c r="A95" s="941"/>
      <c r="B95" s="945" t="s">
        <v>944</v>
      </c>
      <c r="C95" s="311" t="s">
        <v>929</v>
      </c>
      <c r="D95" s="460">
        <v>4</v>
      </c>
      <c r="E95" s="459">
        <v>6</v>
      </c>
      <c r="F95" s="331"/>
      <c r="G95" s="331"/>
      <c r="H95" s="28"/>
      <c r="I95" s="28"/>
    </row>
    <row r="96" spans="1:9" x14ac:dyDescent="0.25">
      <c r="A96" s="941"/>
      <c r="B96" s="945"/>
      <c r="C96" s="311" t="s">
        <v>930</v>
      </c>
      <c r="D96" s="460">
        <v>15</v>
      </c>
      <c r="E96" s="459">
        <v>8</v>
      </c>
      <c r="F96" s="331"/>
      <c r="G96" s="331"/>
      <c r="H96" s="28"/>
      <c r="I96" s="28"/>
    </row>
    <row r="97" spans="1:9" x14ac:dyDescent="0.25">
      <c r="A97" s="941"/>
      <c r="B97" s="945"/>
      <c r="C97" s="311" t="s">
        <v>931</v>
      </c>
      <c r="D97" s="460">
        <v>13</v>
      </c>
      <c r="E97" s="459">
        <v>5</v>
      </c>
      <c r="F97" s="331"/>
      <c r="G97" s="331"/>
      <c r="H97" s="28"/>
      <c r="I97" s="28"/>
    </row>
    <row r="98" spans="1:9" x14ac:dyDescent="0.25">
      <c r="A98" s="941"/>
      <c r="B98" s="945"/>
      <c r="C98" s="311" t="s">
        <v>932</v>
      </c>
      <c r="D98" s="460"/>
      <c r="E98" s="331"/>
      <c r="F98" s="331"/>
      <c r="G98" s="331"/>
      <c r="H98" s="28"/>
      <c r="I98" s="28"/>
    </row>
    <row r="99" spans="1:9" x14ac:dyDescent="0.25">
      <c r="A99" s="941"/>
      <c r="B99" s="945"/>
      <c r="C99" s="323" t="s">
        <v>81</v>
      </c>
      <c r="D99" s="336">
        <f>SUM(D95:D98)</f>
        <v>32</v>
      </c>
      <c r="E99" s="468">
        <f>SUM(E95:E98)</f>
        <v>19</v>
      </c>
      <c r="F99" s="333"/>
      <c r="G99" s="331"/>
      <c r="H99" s="28"/>
      <c r="I99" s="28"/>
    </row>
    <row r="100" spans="1:9" x14ac:dyDescent="0.25">
      <c r="A100" s="941"/>
      <c r="B100" s="945" t="s">
        <v>945</v>
      </c>
      <c r="C100" s="311" t="s">
        <v>929</v>
      </c>
      <c r="D100" s="334">
        <f t="shared" ref="D100:E102" si="2">+D90/D95</f>
        <v>41.5</v>
      </c>
      <c r="E100" s="334">
        <f t="shared" si="2"/>
        <v>50.833333333333336</v>
      </c>
      <c r="F100" s="331"/>
      <c r="G100" s="331"/>
      <c r="H100" s="28"/>
      <c r="I100" s="28"/>
    </row>
    <row r="101" spans="1:9" x14ac:dyDescent="0.25">
      <c r="A101" s="941"/>
      <c r="B101" s="945"/>
      <c r="C101" s="311" t="s">
        <v>930</v>
      </c>
      <c r="D101" s="334">
        <f t="shared" si="2"/>
        <v>31.6</v>
      </c>
      <c r="E101" s="334">
        <f t="shared" si="2"/>
        <v>46.75</v>
      </c>
      <c r="F101" s="331"/>
      <c r="G101" s="331"/>
      <c r="H101" s="28"/>
      <c r="I101" s="28"/>
    </row>
    <row r="102" spans="1:9" x14ac:dyDescent="0.25">
      <c r="A102" s="941"/>
      <c r="B102" s="945"/>
      <c r="C102" s="311" t="s">
        <v>931</v>
      </c>
      <c r="D102" s="334">
        <f t="shared" si="2"/>
        <v>34.07692307692308</v>
      </c>
      <c r="E102" s="334">
        <f t="shared" si="2"/>
        <v>23.2</v>
      </c>
      <c r="F102" s="331"/>
      <c r="G102" s="331"/>
      <c r="H102" s="28"/>
      <c r="I102" s="28"/>
    </row>
    <row r="103" spans="1:9" x14ac:dyDescent="0.25">
      <c r="A103" s="941"/>
      <c r="B103" s="945"/>
      <c r="C103" s="311" t="s">
        <v>932</v>
      </c>
      <c r="D103" s="334"/>
      <c r="E103" s="331"/>
      <c r="F103" s="331"/>
      <c r="G103" s="331"/>
      <c r="H103" s="28"/>
      <c r="I103" s="28"/>
    </row>
    <row r="104" spans="1:9" x14ac:dyDescent="0.25">
      <c r="A104" s="941"/>
      <c r="B104" s="945"/>
      <c r="C104" s="323" t="s">
        <v>81</v>
      </c>
      <c r="D104" s="332">
        <f>+D94/D99</f>
        <v>33.84375</v>
      </c>
      <c r="E104" s="471">
        <f>+E94/E99</f>
        <v>41.842105263157897</v>
      </c>
      <c r="F104" s="337"/>
      <c r="G104" s="337"/>
      <c r="H104" s="28"/>
      <c r="I104" s="28"/>
    </row>
    <row r="105" spans="1:9" ht="14.25" customHeight="1" x14ac:dyDescent="0.25">
      <c r="A105" s="946" t="s">
        <v>946</v>
      </c>
      <c r="B105" s="942" t="s">
        <v>947</v>
      </c>
      <c r="C105" s="311" t="s">
        <v>929</v>
      </c>
      <c r="D105" s="460" t="s">
        <v>948</v>
      </c>
      <c r="E105" s="459">
        <v>32</v>
      </c>
      <c r="F105" s="331"/>
      <c r="G105" s="331"/>
      <c r="H105" s="28"/>
      <c r="I105" s="28"/>
    </row>
    <row r="106" spans="1:9" x14ac:dyDescent="0.25">
      <c r="A106" s="946"/>
      <c r="B106" s="943"/>
      <c r="C106" s="311" t="s">
        <v>930</v>
      </c>
      <c r="D106" s="460">
        <v>49</v>
      </c>
      <c r="E106" s="331"/>
      <c r="F106" s="331"/>
      <c r="G106" s="331"/>
      <c r="H106" s="28"/>
      <c r="I106" s="28"/>
    </row>
    <row r="107" spans="1:9" x14ac:dyDescent="0.25">
      <c r="A107" s="946"/>
      <c r="B107" s="943"/>
      <c r="C107" s="311" t="s">
        <v>931</v>
      </c>
      <c r="D107" s="460" t="s">
        <v>948</v>
      </c>
      <c r="E107" s="331"/>
      <c r="F107" s="331"/>
      <c r="G107" s="331"/>
      <c r="H107" s="28"/>
      <c r="I107" s="28"/>
    </row>
    <row r="108" spans="1:9" x14ac:dyDescent="0.25">
      <c r="A108" s="946"/>
      <c r="B108" s="943"/>
      <c r="C108" s="311" t="s">
        <v>932</v>
      </c>
      <c r="D108" s="460"/>
      <c r="E108" s="331"/>
      <c r="F108" s="331"/>
      <c r="G108" s="331"/>
      <c r="H108" s="28"/>
      <c r="I108" s="28"/>
    </row>
    <row r="109" spans="1:9" x14ac:dyDescent="0.25">
      <c r="A109" s="946"/>
      <c r="B109" s="944"/>
      <c r="C109" s="323" t="s">
        <v>81</v>
      </c>
      <c r="D109" s="338">
        <f>SUM(D105:D108)</f>
        <v>49</v>
      </c>
      <c r="E109" s="338">
        <f>SUM(E105:E108)</f>
        <v>32</v>
      </c>
      <c r="F109" s="337"/>
      <c r="G109" s="337"/>
      <c r="H109" s="28"/>
      <c r="I109" s="28"/>
    </row>
    <row r="110" spans="1:9" x14ac:dyDescent="0.25">
      <c r="A110" s="946"/>
      <c r="B110" s="945" t="s">
        <v>949</v>
      </c>
      <c r="C110" s="311" t="s">
        <v>929</v>
      </c>
      <c r="D110" s="460" t="s">
        <v>948</v>
      </c>
      <c r="E110" s="459">
        <v>1</v>
      </c>
      <c r="F110" s="331"/>
      <c r="G110" s="331"/>
      <c r="H110" s="28"/>
      <c r="I110" s="28"/>
    </row>
    <row r="111" spans="1:9" x14ac:dyDescent="0.25">
      <c r="A111" s="946"/>
      <c r="B111" s="945"/>
      <c r="C111" s="311" t="s">
        <v>930</v>
      </c>
      <c r="D111" s="460">
        <v>1</v>
      </c>
      <c r="E111" s="331"/>
      <c r="F111" s="331"/>
      <c r="G111" s="331"/>
      <c r="H111" s="28"/>
      <c r="I111" s="28"/>
    </row>
    <row r="112" spans="1:9" x14ac:dyDescent="0.25">
      <c r="A112" s="946"/>
      <c r="B112" s="945"/>
      <c r="C112" s="311" t="s">
        <v>931</v>
      </c>
      <c r="D112" s="460" t="s">
        <v>948</v>
      </c>
      <c r="E112" s="331"/>
      <c r="F112" s="331"/>
      <c r="G112" s="331"/>
      <c r="H112" s="28"/>
      <c r="I112" s="28"/>
    </row>
    <row r="113" spans="1:15" x14ac:dyDescent="0.25">
      <c r="A113" s="946"/>
      <c r="B113" s="945"/>
      <c r="C113" s="311" t="s">
        <v>932</v>
      </c>
      <c r="D113" s="460"/>
      <c r="E113" s="331"/>
      <c r="F113" s="331"/>
      <c r="G113" s="331"/>
      <c r="H113" s="28"/>
      <c r="I113" s="28"/>
    </row>
    <row r="114" spans="1:15" x14ac:dyDescent="0.25">
      <c r="A114" s="946"/>
      <c r="B114" s="945"/>
      <c r="C114" s="323" t="s">
        <v>81</v>
      </c>
      <c r="D114" s="338">
        <f>SUM(D110:D113)</f>
        <v>1</v>
      </c>
      <c r="E114" s="338">
        <f>SUM(E110:E113)</f>
        <v>1</v>
      </c>
      <c r="F114" s="337"/>
      <c r="G114" s="337"/>
      <c r="H114" s="28"/>
      <c r="I114" s="28"/>
    </row>
    <row r="115" spans="1:15" x14ac:dyDescent="0.25">
      <c r="A115" s="946"/>
      <c r="B115" s="945" t="s">
        <v>950</v>
      </c>
      <c r="C115" s="311" t="s">
        <v>929</v>
      </c>
      <c r="D115" s="460" t="s">
        <v>948</v>
      </c>
      <c r="E115" s="459">
        <f>+E105/E110</f>
        <v>32</v>
      </c>
      <c r="F115" s="331"/>
      <c r="G115" s="331"/>
      <c r="H115" s="28"/>
      <c r="I115" s="28"/>
    </row>
    <row r="116" spans="1:15" x14ac:dyDescent="0.25">
      <c r="A116" s="946"/>
      <c r="B116" s="945"/>
      <c r="C116" s="311" t="s">
        <v>930</v>
      </c>
      <c r="D116" s="460">
        <f>+D106/D111</f>
        <v>49</v>
      </c>
      <c r="E116" s="460" t="e">
        <f>+E106/E111</f>
        <v>#DIV/0!</v>
      </c>
      <c r="F116" s="331"/>
      <c r="G116" s="331"/>
      <c r="H116" s="28"/>
      <c r="I116" s="28"/>
    </row>
    <row r="117" spans="1:15" x14ac:dyDescent="0.25">
      <c r="A117" s="946"/>
      <c r="B117" s="945"/>
      <c r="C117" s="311" t="s">
        <v>931</v>
      </c>
      <c r="D117" s="460" t="s">
        <v>948</v>
      </c>
      <c r="E117" s="460" t="e">
        <f>+E107/E112</f>
        <v>#DIV/0!</v>
      </c>
      <c r="F117" s="331"/>
      <c r="G117" s="331"/>
      <c r="H117" s="28"/>
      <c r="I117" s="28"/>
    </row>
    <row r="118" spans="1:15" x14ac:dyDescent="0.25">
      <c r="A118" s="946"/>
      <c r="B118" s="945"/>
      <c r="C118" s="311" t="s">
        <v>932</v>
      </c>
      <c r="D118" s="460"/>
      <c r="E118" s="331"/>
      <c r="F118" s="331"/>
      <c r="G118" s="331"/>
      <c r="H118" s="28"/>
      <c r="I118" s="28"/>
    </row>
    <row r="119" spans="1:15" x14ac:dyDescent="0.25">
      <c r="A119" s="946"/>
      <c r="B119" s="945"/>
      <c r="C119" s="323" t="s">
        <v>81</v>
      </c>
      <c r="D119" s="338">
        <f>+D109/D114</f>
        <v>49</v>
      </c>
      <c r="E119" s="338">
        <f>+E109/E114</f>
        <v>32</v>
      </c>
      <c r="F119" s="337"/>
      <c r="G119" s="337"/>
      <c r="H119" s="28"/>
      <c r="I119" s="28"/>
    </row>
    <row r="120" spans="1:15" ht="17.5" x14ac:dyDescent="0.25">
      <c r="A120" s="455"/>
      <c r="B120" s="339"/>
      <c r="C120" s="301"/>
      <c r="D120" s="340"/>
      <c r="E120" s="28"/>
      <c r="F120" s="28"/>
      <c r="G120" s="28"/>
      <c r="H120" s="28"/>
      <c r="I120" s="28"/>
      <c r="J120" s="28"/>
      <c r="K120" s="28"/>
      <c r="L120" s="28"/>
    </row>
    <row r="122" spans="1:15" ht="31.5" customHeight="1" x14ac:dyDescent="0.25">
      <c r="A122" s="885" t="str">
        <f>+PORCENTAJE_____DE_TRÁMITES_RESUELTOS_EN_UN_TIEMPO_IGUAL_O_INFERIOR_A_LO_REGLAMENTADO_EN_EL_SGC.__LICENCIAS_AMBIENTALES__115_DÍAS_HÁBILES_.__CONCESIONES_DE_AGUAS_SUBTERRÁNEAS_Y_SUPERFICIALES__55_DÍAS_HÁBILES_.__PERMISOS_DE_VERTIMIENTOS__55_DÍAS_HÁBILES_.</f>
        <v>DESARROLLAR SEGUIMIENTO QUINCENAL  A LOS TRAMITES QUE TIENEN RIESGO DE INCUMPLIMIENTO DE LOS TIEMPOS ESTABLECIDOS PARA DAR RESPUESTA A LOS USUARIOS</v>
      </c>
      <c r="B122" s="885"/>
      <c r="C122" s="885"/>
      <c r="D122" s="885"/>
      <c r="E122" s="885"/>
      <c r="F122" s="885"/>
      <c r="G122" s="885"/>
      <c r="H122" s="885"/>
      <c r="I122" s="885"/>
      <c r="J122" s="885"/>
      <c r="K122" s="885"/>
      <c r="L122" s="885"/>
      <c r="M122" s="885"/>
      <c r="N122" s="885"/>
      <c r="O122" s="885"/>
    </row>
    <row r="124" spans="1:15" ht="41.25" customHeight="1" x14ac:dyDescent="0.25">
      <c r="A124" s="26"/>
      <c r="G124" s="341">
        <v>2016</v>
      </c>
      <c r="H124" s="341">
        <v>2017</v>
      </c>
      <c r="I124" s="341">
        <v>2018</v>
      </c>
      <c r="J124" s="341">
        <v>2019</v>
      </c>
      <c r="K124" s="341">
        <v>2020</v>
      </c>
      <c r="L124" s="341">
        <v>2021</v>
      </c>
    </row>
    <row r="125" spans="1:15" ht="36" customHeight="1" x14ac:dyDescent="0.25">
      <c r="A125" s="866" t="s">
        <v>203</v>
      </c>
      <c r="B125" s="867"/>
      <c r="C125" s="867"/>
      <c r="D125" s="867"/>
      <c r="E125" s="867"/>
      <c r="F125" s="867"/>
      <c r="G125" s="27">
        <f>+L138</f>
        <v>0</v>
      </c>
      <c r="H125" s="27">
        <f>+O138</f>
        <v>0</v>
      </c>
      <c r="I125" s="27"/>
      <c r="J125" s="152"/>
      <c r="K125" s="27"/>
      <c r="L125" s="27"/>
    </row>
    <row r="126" spans="1:15" ht="36" customHeight="1" x14ac:dyDescent="0.25">
      <c r="A126" s="866" t="s">
        <v>205</v>
      </c>
      <c r="B126" s="867"/>
      <c r="C126" s="867"/>
      <c r="D126" s="867"/>
      <c r="E126" s="867"/>
      <c r="F126" s="867"/>
      <c r="G126" s="27">
        <f>+L143</f>
        <v>0.69230769230769229</v>
      </c>
      <c r="H126" s="472">
        <f>+O143</f>
        <v>0.88135593220338981</v>
      </c>
      <c r="I126" s="152"/>
      <c r="J126" s="152"/>
      <c r="K126" s="27"/>
      <c r="L126" s="27"/>
    </row>
    <row r="127" spans="1:15" ht="36" customHeight="1" x14ac:dyDescent="0.25">
      <c r="A127" s="866" t="s">
        <v>206</v>
      </c>
      <c r="B127" s="867"/>
      <c r="C127" s="867"/>
      <c r="D127" s="867"/>
      <c r="E127" s="867"/>
      <c r="F127" s="867"/>
      <c r="G127" s="27">
        <f>+L148</f>
        <v>0.39130434782608697</v>
      </c>
      <c r="H127" s="473">
        <f>+O148</f>
        <v>0.30136986301369861</v>
      </c>
      <c r="I127" s="27"/>
      <c r="J127" s="152"/>
      <c r="K127" s="27"/>
      <c r="L127" s="27"/>
    </row>
    <row r="128" spans="1:15" ht="36" customHeight="1" x14ac:dyDescent="0.25">
      <c r="A128" s="866" t="s">
        <v>550</v>
      </c>
      <c r="B128" s="867"/>
      <c r="C128" s="867"/>
      <c r="D128" s="867"/>
      <c r="E128" s="867"/>
      <c r="F128" s="867"/>
      <c r="G128" s="27">
        <f>+L153</f>
        <v>0.90625</v>
      </c>
      <c r="H128" s="474">
        <f>+O153</f>
        <v>0.68421052631578949</v>
      </c>
      <c r="I128" s="152"/>
      <c r="J128" s="152"/>
      <c r="K128" s="27"/>
      <c r="L128" s="27"/>
    </row>
    <row r="129" spans="1:15" ht="36" customHeight="1" x14ac:dyDescent="0.25">
      <c r="A129" s="866" t="s">
        <v>198</v>
      </c>
      <c r="B129" s="867"/>
      <c r="C129" s="867"/>
      <c r="D129" s="867"/>
      <c r="E129" s="867"/>
      <c r="F129" s="867"/>
      <c r="G129" s="27">
        <f>+L163</f>
        <v>0.67346938775510201</v>
      </c>
      <c r="H129" s="474">
        <f>+O163</f>
        <v>0.57894736842105265</v>
      </c>
      <c r="I129" s="27"/>
      <c r="J129" s="149"/>
      <c r="K129" s="149"/>
      <c r="L129" s="149"/>
    </row>
    <row r="130" spans="1:15" s="343" customFormat="1" ht="36" customHeight="1" x14ac:dyDescent="0.25">
      <c r="A130" s="934" t="s">
        <v>76</v>
      </c>
      <c r="B130" s="935"/>
      <c r="C130" s="935"/>
      <c r="D130" s="935"/>
      <c r="E130" s="935"/>
      <c r="F130" s="935"/>
      <c r="G130" s="342">
        <v>0.8</v>
      </c>
      <c r="H130" s="342">
        <v>0.8</v>
      </c>
      <c r="I130" s="342">
        <v>0.8</v>
      </c>
      <c r="J130" s="342">
        <v>0.8</v>
      </c>
      <c r="K130" s="342">
        <v>0.8</v>
      </c>
      <c r="L130" s="342">
        <v>0.8</v>
      </c>
    </row>
    <row r="131" spans="1:15" ht="29.25" customHeight="1" x14ac:dyDescent="0.25">
      <c r="A131" s="5"/>
    </row>
    <row r="132" spans="1:15" ht="40.5" customHeight="1" x14ac:dyDescent="0.25">
      <c r="A132" s="5"/>
      <c r="B132" s="28"/>
      <c r="C132" s="28"/>
      <c r="D132" s="340"/>
      <c r="G132" s="936" t="s">
        <v>951</v>
      </c>
      <c r="H132" s="936" t="s">
        <v>952</v>
      </c>
      <c r="I132" s="936" t="s">
        <v>953</v>
      </c>
      <c r="J132" s="938" t="s">
        <v>1145</v>
      </c>
      <c r="K132" s="939"/>
      <c r="L132" s="939"/>
      <c r="M132" s="940" t="s">
        <v>1146</v>
      </c>
      <c r="N132" s="940"/>
      <c r="O132" s="940"/>
    </row>
    <row r="133" spans="1:15" ht="59.25" customHeight="1" x14ac:dyDescent="0.25">
      <c r="A133" s="5"/>
      <c r="G133" s="937"/>
      <c r="H133" s="937"/>
      <c r="I133" s="937"/>
      <c r="J133" s="475" t="s">
        <v>954</v>
      </c>
      <c r="K133" s="476" t="s">
        <v>955</v>
      </c>
      <c r="L133" s="477"/>
      <c r="M133" s="478" t="s">
        <v>954</v>
      </c>
      <c r="N133" s="478" t="s">
        <v>955</v>
      </c>
      <c r="O133" s="479" t="s">
        <v>1147</v>
      </c>
    </row>
    <row r="134" spans="1:15" ht="36.75" customHeight="1" x14ac:dyDescent="0.3">
      <c r="B134" s="29"/>
      <c r="C134" s="30"/>
      <c r="D134" s="344"/>
      <c r="G134" s="859">
        <v>2016</v>
      </c>
      <c r="H134" s="861" t="s">
        <v>203</v>
      </c>
      <c r="I134" s="45" t="s">
        <v>212</v>
      </c>
      <c r="J134" s="167">
        <v>0</v>
      </c>
      <c r="K134" s="167">
        <v>1</v>
      </c>
      <c r="L134" s="480">
        <f t="shared" ref="L134:L163" si="3">+J134/K134</f>
        <v>0</v>
      </c>
      <c r="M134" s="481"/>
      <c r="N134" s="482"/>
      <c r="O134" s="482"/>
    </row>
    <row r="135" spans="1:15" ht="36.75" customHeight="1" x14ac:dyDescent="0.3">
      <c r="B135" s="29"/>
      <c r="C135" s="30"/>
      <c r="D135" s="344"/>
      <c r="G135" s="859"/>
      <c r="H135" s="861"/>
      <c r="I135" s="45" t="s">
        <v>213</v>
      </c>
      <c r="J135" s="167">
        <v>0</v>
      </c>
      <c r="K135" s="167">
        <v>2</v>
      </c>
      <c r="L135" s="480">
        <f t="shared" si="3"/>
        <v>0</v>
      </c>
      <c r="M135" s="481"/>
      <c r="N135" s="482"/>
      <c r="O135" s="482"/>
    </row>
    <row r="136" spans="1:15" ht="36.75" customHeight="1" x14ac:dyDescent="0.3">
      <c r="B136" s="29"/>
      <c r="C136" s="30"/>
      <c r="D136" s="344"/>
      <c r="G136" s="859"/>
      <c r="H136" s="861"/>
      <c r="I136" s="45" t="s">
        <v>214</v>
      </c>
      <c r="J136" s="167"/>
      <c r="K136" s="167"/>
      <c r="L136" s="480" t="e">
        <f t="shared" si="3"/>
        <v>#DIV/0!</v>
      </c>
      <c r="M136" s="481"/>
      <c r="N136" s="482"/>
      <c r="O136" s="482"/>
    </row>
    <row r="137" spans="1:15" ht="36.75" customHeight="1" x14ac:dyDescent="0.3">
      <c r="B137" s="29"/>
      <c r="C137" s="30"/>
      <c r="D137" s="344"/>
      <c r="G137" s="859"/>
      <c r="H137" s="861"/>
      <c r="I137" s="45" t="s">
        <v>215</v>
      </c>
      <c r="J137" s="167"/>
      <c r="K137" s="167"/>
      <c r="L137" s="480" t="e">
        <f t="shared" si="3"/>
        <v>#DIV/0!</v>
      </c>
      <c r="M137" s="481"/>
      <c r="N137" s="482"/>
      <c r="O137" s="482"/>
    </row>
    <row r="138" spans="1:15" ht="36.75" customHeight="1" x14ac:dyDescent="0.3">
      <c r="B138" s="29"/>
      <c r="C138" s="30"/>
      <c r="D138" s="344"/>
      <c r="G138" s="859"/>
      <c r="H138" s="861"/>
      <c r="I138" s="35" t="s">
        <v>216</v>
      </c>
      <c r="J138" s="168">
        <f>SUM(J134:J137)</f>
        <v>0</v>
      </c>
      <c r="K138" s="168">
        <f>SUM(K134:K137)</f>
        <v>3</v>
      </c>
      <c r="L138" s="483">
        <f t="shared" si="3"/>
        <v>0</v>
      </c>
      <c r="M138" s="484"/>
      <c r="N138" s="485"/>
      <c r="O138" s="485"/>
    </row>
    <row r="139" spans="1:15" ht="36.75" customHeight="1" x14ac:dyDescent="0.3">
      <c r="B139" s="29"/>
      <c r="C139" s="30"/>
      <c r="D139" s="344"/>
      <c r="G139" s="859"/>
      <c r="H139" s="861" t="s">
        <v>209</v>
      </c>
      <c r="I139" s="45" t="s">
        <v>212</v>
      </c>
      <c r="J139" s="167">
        <v>3</v>
      </c>
      <c r="K139" s="167">
        <v>4</v>
      </c>
      <c r="L139" s="480">
        <f t="shared" si="3"/>
        <v>0.75</v>
      </c>
      <c r="M139" s="45">
        <v>7</v>
      </c>
      <c r="N139" s="167">
        <v>8</v>
      </c>
      <c r="O139" s="486">
        <f>+M139/N139</f>
        <v>0.875</v>
      </c>
    </row>
    <row r="140" spans="1:15" ht="36.75" customHeight="1" x14ac:dyDescent="0.3">
      <c r="B140" s="29"/>
      <c r="C140" s="30"/>
      <c r="D140" s="344"/>
      <c r="G140" s="859"/>
      <c r="H140" s="861"/>
      <c r="I140" s="45" t="s">
        <v>213</v>
      </c>
      <c r="J140" s="167">
        <v>13</v>
      </c>
      <c r="K140" s="167">
        <v>14</v>
      </c>
      <c r="L140" s="480">
        <f t="shared" si="3"/>
        <v>0.9285714285714286</v>
      </c>
      <c r="M140" s="45">
        <v>16</v>
      </c>
      <c r="N140" s="167">
        <v>19</v>
      </c>
      <c r="O140" s="486">
        <f>+M140/N140</f>
        <v>0.84210526315789469</v>
      </c>
    </row>
    <row r="141" spans="1:15" ht="36.75" customHeight="1" x14ac:dyDescent="0.3">
      <c r="B141" s="29"/>
      <c r="C141" s="30"/>
      <c r="D141" s="344"/>
      <c r="G141" s="859"/>
      <c r="H141" s="861"/>
      <c r="I141" s="45" t="s">
        <v>214</v>
      </c>
      <c r="J141" s="167">
        <v>11</v>
      </c>
      <c r="K141" s="167">
        <v>21</v>
      </c>
      <c r="L141" s="480">
        <f t="shared" si="3"/>
        <v>0.52380952380952384</v>
      </c>
      <c r="M141" s="45">
        <v>29</v>
      </c>
      <c r="N141" s="167">
        <v>32</v>
      </c>
      <c r="O141" s="486">
        <f>+M141/N141</f>
        <v>0.90625</v>
      </c>
    </row>
    <row r="142" spans="1:15" ht="36.75" customHeight="1" x14ac:dyDescent="0.3">
      <c r="B142" s="29"/>
      <c r="C142" s="30"/>
      <c r="D142" s="344"/>
      <c r="G142" s="859"/>
      <c r="H142" s="861"/>
      <c r="I142" s="45" t="s">
        <v>215</v>
      </c>
      <c r="J142" s="167"/>
      <c r="K142" s="167"/>
      <c r="L142" s="480" t="e">
        <f t="shared" si="3"/>
        <v>#DIV/0!</v>
      </c>
      <c r="M142" s="45"/>
      <c r="N142" s="167"/>
      <c r="O142" s="167"/>
    </row>
    <row r="143" spans="1:15" ht="36.75" customHeight="1" x14ac:dyDescent="0.3">
      <c r="B143" s="29"/>
      <c r="C143" s="30"/>
      <c r="D143" s="344"/>
      <c r="G143" s="859"/>
      <c r="H143" s="861"/>
      <c r="I143" s="35" t="s">
        <v>216</v>
      </c>
      <c r="J143" s="168">
        <f>SUM(J139:J142)</f>
        <v>27</v>
      </c>
      <c r="K143" s="168">
        <f>SUM(K139:K142)</f>
        <v>39</v>
      </c>
      <c r="L143" s="483">
        <f t="shared" si="3"/>
        <v>0.69230769230769229</v>
      </c>
      <c r="M143" s="35">
        <f>SUM(M139:M142)</f>
        <v>52</v>
      </c>
      <c r="N143" s="35">
        <f>SUM(N139:N142)</f>
        <v>59</v>
      </c>
      <c r="O143" s="487">
        <f>+M143/N143</f>
        <v>0.88135593220338981</v>
      </c>
    </row>
    <row r="144" spans="1:15" ht="36.75" customHeight="1" x14ac:dyDescent="0.3">
      <c r="B144" s="29"/>
      <c r="C144" s="30"/>
      <c r="D144" s="344"/>
      <c r="G144" s="859"/>
      <c r="H144" s="861" t="s">
        <v>206</v>
      </c>
      <c r="I144" s="45" t="s">
        <v>212</v>
      </c>
      <c r="J144" s="167">
        <v>2</v>
      </c>
      <c r="K144" s="167">
        <v>5</v>
      </c>
      <c r="L144" s="480">
        <f t="shared" si="3"/>
        <v>0.4</v>
      </c>
      <c r="M144" s="45">
        <v>4</v>
      </c>
      <c r="N144" s="167">
        <v>6</v>
      </c>
      <c r="O144" s="486">
        <f>+M144/N144</f>
        <v>0.66666666666666663</v>
      </c>
    </row>
    <row r="145" spans="2:15" ht="36.75" customHeight="1" x14ac:dyDescent="0.3">
      <c r="B145" s="29"/>
      <c r="C145" s="30"/>
      <c r="D145" s="344"/>
      <c r="G145" s="859"/>
      <c r="H145" s="861"/>
      <c r="I145" s="45" t="s">
        <v>213</v>
      </c>
      <c r="J145" s="167">
        <v>2</v>
      </c>
      <c r="K145" s="167">
        <v>8</v>
      </c>
      <c r="L145" s="480">
        <f t="shared" si="3"/>
        <v>0.25</v>
      </c>
      <c r="M145" s="45">
        <v>7</v>
      </c>
      <c r="N145" s="167">
        <v>33</v>
      </c>
      <c r="O145" s="486">
        <f>+M145/N145</f>
        <v>0.21212121212121213</v>
      </c>
    </row>
    <row r="146" spans="2:15" ht="36.75" customHeight="1" x14ac:dyDescent="0.3">
      <c r="B146" s="29"/>
      <c r="C146" s="30"/>
      <c r="D146" s="344"/>
      <c r="G146" s="859"/>
      <c r="H146" s="861"/>
      <c r="I146" s="45" t="s">
        <v>214</v>
      </c>
      <c r="J146" s="167">
        <v>5</v>
      </c>
      <c r="K146" s="167">
        <v>10</v>
      </c>
      <c r="L146" s="480">
        <f t="shared" si="3"/>
        <v>0.5</v>
      </c>
      <c r="M146" s="45">
        <v>11</v>
      </c>
      <c r="N146" s="167">
        <v>34</v>
      </c>
      <c r="O146" s="486">
        <f>+M146/N146</f>
        <v>0.3235294117647059</v>
      </c>
    </row>
    <row r="147" spans="2:15" ht="36.75" customHeight="1" x14ac:dyDescent="0.3">
      <c r="B147" s="29"/>
      <c r="C147" s="30"/>
      <c r="D147" s="344"/>
      <c r="G147" s="859"/>
      <c r="H147" s="861"/>
      <c r="I147" s="45" t="s">
        <v>215</v>
      </c>
      <c r="J147" s="167"/>
      <c r="K147" s="167"/>
      <c r="L147" s="480" t="e">
        <f t="shared" si="3"/>
        <v>#DIV/0!</v>
      </c>
      <c r="M147" s="45"/>
      <c r="N147" s="167"/>
      <c r="O147" s="167"/>
    </row>
    <row r="148" spans="2:15" ht="36.75" customHeight="1" x14ac:dyDescent="0.3">
      <c r="B148" s="29"/>
      <c r="C148" s="30"/>
      <c r="D148" s="344"/>
      <c r="G148" s="859"/>
      <c r="H148" s="861"/>
      <c r="I148" s="35" t="s">
        <v>216</v>
      </c>
      <c r="J148" s="168">
        <f>SUM(J144:J147)</f>
        <v>9</v>
      </c>
      <c r="K148" s="168">
        <f>SUM(K144:K147)</f>
        <v>23</v>
      </c>
      <c r="L148" s="483">
        <f t="shared" si="3"/>
        <v>0.39130434782608697</v>
      </c>
      <c r="M148" s="35">
        <f>SUM(M144:M147)</f>
        <v>22</v>
      </c>
      <c r="N148" s="35">
        <f>SUM(N144:N147)</f>
        <v>73</v>
      </c>
      <c r="O148" s="488">
        <f>+M148/N148</f>
        <v>0.30136986301369861</v>
      </c>
    </row>
    <row r="149" spans="2:15" ht="36.75" customHeight="1" x14ac:dyDescent="0.3">
      <c r="B149" s="29"/>
      <c r="C149" s="30"/>
      <c r="D149" s="344"/>
      <c r="G149" s="859"/>
      <c r="H149" s="861" t="s">
        <v>956</v>
      </c>
      <c r="I149" s="45" t="s">
        <v>212</v>
      </c>
      <c r="J149" s="167">
        <v>3</v>
      </c>
      <c r="K149" s="167">
        <v>4</v>
      </c>
      <c r="L149" s="480">
        <f t="shared" si="3"/>
        <v>0.75</v>
      </c>
      <c r="M149" s="45">
        <v>4</v>
      </c>
      <c r="N149" s="167">
        <v>6</v>
      </c>
      <c r="O149" s="486">
        <f>+M149/N149</f>
        <v>0.66666666666666663</v>
      </c>
    </row>
    <row r="150" spans="2:15" ht="36.75" customHeight="1" x14ac:dyDescent="0.3">
      <c r="B150" s="29"/>
      <c r="C150" s="30"/>
      <c r="D150" s="344"/>
      <c r="G150" s="859"/>
      <c r="H150" s="861"/>
      <c r="I150" s="45" t="s">
        <v>213</v>
      </c>
      <c r="J150" s="167">
        <v>15</v>
      </c>
      <c r="K150" s="167">
        <v>15</v>
      </c>
      <c r="L150" s="480">
        <f t="shared" si="3"/>
        <v>1</v>
      </c>
      <c r="M150" s="45">
        <v>4</v>
      </c>
      <c r="N150" s="167">
        <v>8</v>
      </c>
      <c r="O150" s="486">
        <f>+M150/N150</f>
        <v>0.5</v>
      </c>
    </row>
    <row r="151" spans="2:15" ht="36.75" customHeight="1" x14ac:dyDescent="0.3">
      <c r="B151" s="29"/>
      <c r="C151" s="30"/>
      <c r="D151" s="344"/>
      <c r="G151" s="859"/>
      <c r="H151" s="861"/>
      <c r="I151" s="45" t="s">
        <v>214</v>
      </c>
      <c r="J151" s="167">
        <v>11</v>
      </c>
      <c r="K151" s="167">
        <v>13</v>
      </c>
      <c r="L151" s="480">
        <f t="shared" si="3"/>
        <v>0.84615384615384615</v>
      </c>
      <c r="M151" s="45">
        <v>5</v>
      </c>
      <c r="N151" s="167">
        <v>5</v>
      </c>
      <c r="O151" s="486">
        <f>+M151/N151</f>
        <v>1</v>
      </c>
    </row>
    <row r="152" spans="2:15" ht="36.75" customHeight="1" x14ac:dyDescent="0.3">
      <c r="B152" s="29"/>
      <c r="C152" s="30"/>
      <c r="D152" s="344"/>
      <c r="G152" s="859"/>
      <c r="H152" s="861"/>
      <c r="I152" s="45" t="s">
        <v>215</v>
      </c>
      <c r="J152" s="167"/>
      <c r="K152" s="167"/>
      <c r="L152" s="480" t="e">
        <f t="shared" si="3"/>
        <v>#DIV/0!</v>
      </c>
      <c r="M152" s="45"/>
      <c r="N152" s="167"/>
      <c r="O152" s="167"/>
    </row>
    <row r="153" spans="2:15" ht="36.75" customHeight="1" x14ac:dyDescent="0.3">
      <c r="B153" s="29"/>
      <c r="C153" s="30"/>
      <c r="D153" s="344"/>
      <c r="G153" s="859"/>
      <c r="H153" s="861"/>
      <c r="I153" s="35" t="s">
        <v>216</v>
      </c>
      <c r="J153" s="168">
        <f>SUM(J149:J152)</f>
        <v>29</v>
      </c>
      <c r="K153" s="168">
        <f>SUM(K149:K152)</f>
        <v>32</v>
      </c>
      <c r="L153" s="483">
        <f t="shared" si="3"/>
        <v>0.90625</v>
      </c>
      <c r="M153" s="35">
        <f>SUM(M149:M152)</f>
        <v>13</v>
      </c>
      <c r="N153" s="35">
        <f>SUM(N149:N152)</f>
        <v>19</v>
      </c>
      <c r="O153" s="489">
        <f>+M153/N153</f>
        <v>0.68421052631578949</v>
      </c>
    </row>
    <row r="154" spans="2:15" ht="36.75" customHeight="1" x14ac:dyDescent="0.3">
      <c r="B154" s="29"/>
      <c r="C154" s="30"/>
      <c r="D154" s="344"/>
      <c r="G154" s="859"/>
      <c r="H154" s="862" t="s">
        <v>957</v>
      </c>
      <c r="I154" s="45" t="s">
        <v>212</v>
      </c>
      <c r="J154" s="167"/>
      <c r="K154" s="167">
        <v>0</v>
      </c>
      <c r="L154" s="480" t="e">
        <f t="shared" si="3"/>
        <v>#DIV/0!</v>
      </c>
      <c r="M154" s="45">
        <v>1</v>
      </c>
      <c r="N154" s="167">
        <v>1</v>
      </c>
      <c r="O154" s="167">
        <f>+M154/N154</f>
        <v>1</v>
      </c>
    </row>
    <row r="155" spans="2:15" ht="36.75" customHeight="1" x14ac:dyDescent="0.3">
      <c r="B155" s="29"/>
      <c r="C155" s="30"/>
      <c r="D155" s="344"/>
      <c r="G155" s="859"/>
      <c r="H155" s="932"/>
      <c r="I155" s="45" t="s">
        <v>213</v>
      </c>
      <c r="J155" s="167">
        <v>1</v>
      </c>
      <c r="K155" s="167">
        <v>1</v>
      </c>
      <c r="L155" s="480">
        <f t="shared" si="3"/>
        <v>1</v>
      </c>
      <c r="M155" s="45"/>
      <c r="N155" s="167"/>
      <c r="O155" s="167"/>
    </row>
    <row r="156" spans="2:15" ht="36.75" customHeight="1" x14ac:dyDescent="0.3">
      <c r="B156" s="29"/>
      <c r="C156" s="30"/>
      <c r="D156" s="344"/>
      <c r="G156" s="859"/>
      <c r="H156" s="932"/>
      <c r="I156" s="45" t="s">
        <v>214</v>
      </c>
      <c r="J156" s="167"/>
      <c r="K156" s="167">
        <v>0</v>
      </c>
      <c r="L156" s="480" t="e">
        <f t="shared" si="3"/>
        <v>#DIV/0!</v>
      </c>
      <c r="M156" s="45"/>
      <c r="N156" s="167"/>
      <c r="O156" s="167"/>
    </row>
    <row r="157" spans="2:15" ht="36.75" customHeight="1" x14ac:dyDescent="0.3">
      <c r="B157" s="29"/>
      <c r="C157" s="30"/>
      <c r="D157" s="344"/>
      <c r="G157" s="859"/>
      <c r="H157" s="932"/>
      <c r="I157" s="45" t="s">
        <v>215</v>
      </c>
      <c r="J157" s="167"/>
      <c r="K157" s="167"/>
      <c r="L157" s="480" t="e">
        <f t="shared" si="3"/>
        <v>#DIV/0!</v>
      </c>
      <c r="M157" s="45"/>
      <c r="N157" s="167"/>
      <c r="O157" s="167"/>
    </row>
    <row r="158" spans="2:15" ht="36.75" customHeight="1" x14ac:dyDescent="0.3">
      <c r="B158" s="29"/>
      <c r="C158" s="30"/>
      <c r="D158" s="344"/>
      <c r="G158" s="859"/>
      <c r="H158" s="864"/>
      <c r="I158" s="35" t="s">
        <v>216</v>
      </c>
      <c r="J158" s="168">
        <f>SUM(J154:J157)</f>
        <v>1</v>
      </c>
      <c r="K158" s="168">
        <f>SUM(K154:K157)</f>
        <v>1</v>
      </c>
      <c r="L158" s="483">
        <f t="shared" si="3"/>
        <v>1</v>
      </c>
      <c r="M158" s="35">
        <f>SUM(M154:M157)</f>
        <v>1</v>
      </c>
      <c r="N158" s="35">
        <f>SUM(N154:N157)</f>
        <v>1</v>
      </c>
      <c r="O158" s="487">
        <f t="shared" ref="O158:O163" si="4">+M158/N158</f>
        <v>1</v>
      </c>
    </row>
    <row r="159" spans="2:15" ht="36.75" customHeight="1" x14ac:dyDescent="0.3">
      <c r="B159" s="29"/>
      <c r="C159" s="30"/>
      <c r="D159" s="344"/>
      <c r="G159" s="859"/>
      <c r="H159" s="933" t="s">
        <v>81</v>
      </c>
      <c r="I159" s="45" t="s">
        <v>212</v>
      </c>
      <c r="J159" s="167">
        <f>+J149+J144+J139+J134+J154</f>
        <v>8</v>
      </c>
      <c r="K159" s="167">
        <f>+K149+K144+K139+K134+K154</f>
        <v>14</v>
      </c>
      <c r="L159" s="480">
        <f t="shared" si="3"/>
        <v>0.5714285714285714</v>
      </c>
      <c r="M159" s="45">
        <f>+M134+M139+M144+M149+M154</f>
        <v>16</v>
      </c>
      <c r="N159" s="45">
        <f>+N134+N139+N144+N149+N154</f>
        <v>21</v>
      </c>
      <c r="O159" s="486">
        <f t="shared" si="4"/>
        <v>0.76190476190476186</v>
      </c>
    </row>
    <row r="160" spans="2:15" ht="36.75" customHeight="1" x14ac:dyDescent="0.3">
      <c r="B160" s="29"/>
      <c r="C160" s="30"/>
      <c r="D160" s="344"/>
      <c r="G160" s="859"/>
      <c r="H160" s="933"/>
      <c r="I160" s="45" t="s">
        <v>213</v>
      </c>
      <c r="J160" s="167">
        <f>+J150+J145+J140+J135+J155</f>
        <v>31</v>
      </c>
      <c r="K160" s="167">
        <f>+K150+K145+K140+K135+K155</f>
        <v>40</v>
      </c>
      <c r="L160" s="480">
        <f t="shared" si="3"/>
        <v>0.77500000000000002</v>
      </c>
      <c r="M160" s="45">
        <f t="shared" ref="M160:N162" si="5">+M135+M140+M145+M150+M155</f>
        <v>27</v>
      </c>
      <c r="N160" s="45">
        <f t="shared" si="5"/>
        <v>60</v>
      </c>
      <c r="O160" s="486">
        <f t="shared" si="4"/>
        <v>0.45</v>
      </c>
    </row>
    <row r="161" spans="1:15" ht="36.75" customHeight="1" x14ac:dyDescent="0.3">
      <c r="B161" s="29"/>
      <c r="C161" s="30"/>
      <c r="D161" s="344"/>
      <c r="G161" s="859"/>
      <c r="H161" s="933"/>
      <c r="I161" s="45" t="s">
        <v>214</v>
      </c>
      <c r="J161" s="167">
        <f>J136+J141+J146+J151+J156</f>
        <v>27</v>
      </c>
      <c r="K161" s="167">
        <f>K136+K141+K146+K151+K156</f>
        <v>44</v>
      </c>
      <c r="L161" s="480">
        <f t="shared" si="3"/>
        <v>0.61363636363636365</v>
      </c>
      <c r="M161" s="45">
        <f t="shared" si="5"/>
        <v>45</v>
      </c>
      <c r="N161" s="45">
        <f t="shared" si="5"/>
        <v>71</v>
      </c>
      <c r="O161" s="486">
        <f t="shared" si="4"/>
        <v>0.63380281690140849</v>
      </c>
    </row>
    <row r="162" spans="1:15" ht="36.75" customHeight="1" x14ac:dyDescent="0.3">
      <c r="B162" s="29"/>
      <c r="C162" s="30"/>
      <c r="D162" s="344"/>
      <c r="G162" s="859"/>
      <c r="H162" s="933"/>
      <c r="I162" s="45" t="s">
        <v>215</v>
      </c>
      <c r="J162" s="167">
        <f>J137+J142+J147+J152+J157</f>
        <v>0</v>
      </c>
      <c r="K162" s="167">
        <f>K137+K142+K147+K152+K157</f>
        <v>0</v>
      </c>
      <c r="L162" s="480" t="e">
        <f t="shared" si="3"/>
        <v>#DIV/0!</v>
      </c>
      <c r="M162" s="45">
        <f t="shared" si="5"/>
        <v>0</v>
      </c>
      <c r="N162" s="45">
        <f t="shared" si="5"/>
        <v>0</v>
      </c>
      <c r="O162" s="486" t="e">
        <f t="shared" si="4"/>
        <v>#DIV/0!</v>
      </c>
    </row>
    <row r="163" spans="1:15" ht="36.75" customHeight="1" x14ac:dyDescent="0.3">
      <c r="B163" s="29"/>
      <c r="C163" s="30"/>
      <c r="D163" s="344"/>
      <c r="G163" s="859"/>
      <c r="H163" s="933"/>
      <c r="I163" s="35" t="s">
        <v>81</v>
      </c>
      <c r="J163" s="168">
        <f>SUM(J159:J162)</f>
        <v>66</v>
      </c>
      <c r="K163" s="168">
        <f>SUM(K159:K162)</f>
        <v>98</v>
      </c>
      <c r="L163" s="483">
        <f t="shared" si="3"/>
        <v>0.67346938775510201</v>
      </c>
      <c r="M163" s="35">
        <f>SUM(M159:M162)</f>
        <v>88</v>
      </c>
      <c r="N163" s="35">
        <f>SUM(N159:N162)</f>
        <v>152</v>
      </c>
      <c r="O163" s="489">
        <f t="shared" si="4"/>
        <v>0.57894736842105265</v>
      </c>
    </row>
    <row r="164" spans="1:15" ht="36.75" customHeight="1" x14ac:dyDescent="0.3">
      <c r="B164" s="29"/>
      <c r="C164" s="30"/>
      <c r="D164" s="344"/>
      <c r="G164" s="219"/>
      <c r="H164" s="220"/>
      <c r="I164" s="221"/>
      <c r="J164" s="222"/>
      <c r="K164" s="222"/>
      <c r="L164" s="223"/>
      <c r="M164" s="453"/>
      <c r="N164" s="453"/>
      <c r="O164" s="453"/>
    </row>
    <row r="165" spans="1:15" ht="46.5" customHeight="1" x14ac:dyDescent="0.25">
      <c r="A165" s="885" t="str">
        <f>+D14</f>
        <v>Porcentaje de autorizaciones ambientales con seguimiento en función de cantidad de autorizaciones</v>
      </c>
      <c r="B165" s="885"/>
      <c r="C165" s="885"/>
      <c r="D165" s="885"/>
      <c r="E165" s="885"/>
      <c r="F165" s="885"/>
      <c r="G165" s="885"/>
      <c r="H165" s="885"/>
      <c r="I165" s="885"/>
      <c r="J165" s="885"/>
      <c r="K165" s="885"/>
      <c r="L165" s="885"/>
      <c r="M165" s="885"/>
      <c r="N165" s="885"/>
      <c r="O165" s="885"/>
    </row>
    <row r="167" spans="1:15" ht="39.75" customHeight="1" x14ac:dyDescent="0.25">
      <c r="A167" s="931" t="s">
        <v>958</v>
      </c>
      <c r="B167" s="931"/>
      <c r="C167" s="931"/>
      <c r="D167" s="931"/>
      <c r="E167" s="931"/>
      <c r="F167" s="931"/>
      <c r="G167" s="345">
        <v>2016</v>
      </c>
      <c r="H167" s="345">
        <v>2017</v>
      </c>
      <c r="I167" s="345">
        <v>2018</v>
      </c>
      <c r="J167" s="345">
        <v>2019</v>
      </c>
      <c r="K167" s="345" t="s">
        <v>959</v>
      </c>
    </row>
    <row r="168" spans="1:15" ht="45" customHeight="1" x14ac:dyDescent="0.25">
      <c r="A168" s="920" t="s">
        <v>960</v>
      </c>
      <c r="B168" s="920"/>
      <c r="C168" s="920"/>
      <c r="D168" s="920"/>
      <c r="E168" s="920"/>
      <c r="F168" s="920"/>
      <c r="G168" s="346">
        <f>+H181</f>
        <v>0.78125</v>
      </c>
      <c r="H168" s="346" t="e">
        <f>+I181</f>
        <v>#DIV/0!</v>
      </c>
      <c r="I168" s="346" t="e">
        <f>+J181</f>
        <v>#DIV/0!</v>
      </c>
      <c r="J168" s="346" t="e">
        <f>+K181</f>
        <v>#DIV/0!</v>
      </c>
      <c r="K168" s="346" t="e">
        <f>+L181</f>
        <v>#DIV/0!</v>
      </c>
    </row>
    <row r="169" spans="1:15" ht="45" customHeight="1" x14ac:dyDescent="0.25">
      <c r="A169" s="920" t="s">
        <v>961</v>
      </c>
      <c r="B169" s="920"/>
      <c r="C169" s="920"/>
      <c r="D169" s="920"/>
      <c r="E169" s="920"/>
      <c r="F169" s="920"/>
      <c r="G169" s="346">
        <f>+H184</f>
        <v>0.75663716814159288</v>
      </c>
      <c r="H169" s="346" t="e">
        <f>+I184</f>
        <v>#DIV/0!</v>
      </c>
      <c r="I169" s="346" t="e">
        <f>+J184</f>
        <v>#DIV/0!</v>
      </c>
      <c r="J169" s="346" t="e">
        <f>+K184</f>
        <v>#DIV/0!</v>
      </c>
      <c r="K169" s="346" t="e">
        <f>+L184</f>
        <v>#DIV/0!</v>
      </c>
    </row>
    <row r="170" spans="1:15" ht="45" customHeight="1" x14ac:dyDescent="0.25">
      <c r="A170" s="920" t="s">
        <v>962</v>
      </c>
      <c r="B170" s="920"/>
      <c r="C170" s="920"/>
      <c r="D170" s="920"/>
      <c r="E170" s="920"/>
      <c r="F170" s="920"/>
      <c r="G170" s="346">
        <f>+H187</f>
        <v>0.4</v>
      </c>
      <c r="H170" s="346" t="e">
        <f>+I187</f>
        <v>#DIV/0!</v>
      </c>
      <c r="I170" s="346" t="e">
        <f>+J187</f>
        <v>#DIV/0!</v>
      </c>
      <c r="J170" s="346" t="e">
        <f>+K187</f>
        <v>#DIV/0!</v>
      </c>
      <c r="K170" s="346" t="e">
        <f>+L187</f>
        <v>#DIV/0!</v>
      </c>
    </row>
    <row r="171" spans="1:15" ht="45" customHeight="1" x14ac:dyDescent="0.25">
      <c r="A171" s="920" t="s">
        <v>963</v>
      </c>
      <c r="B171" s="920"/>
      <c r="C171" s="920"/>
      <c r="D171" s="920"/>
      <c r="E171" s="920"/>
      <c r="F171" s="920"/>
      <c r="G171" s="346">
        <f>+H190</f>
        <v>0.55932203389830504</v>
      </c>
      <c r="H171" s="490">
        <f>+I190</f>
        <v>0.72058823529411764</v>
      </c>
      <c r="I171" s="346" t="e">
        <f>+J190</f>
        <v>#DIV/0!</v>
      </c>
      <c r="J171" s="346" t="e">
        <f>+K190</f>
        <v>#DIV/0!</v>
      </c>
      <c r="K171" s="346" t="e">
        <f>+L190</f>
        <v>#DIV/0!</v>
      </c>
    </row>
    <row r="172" spans="1:15" ht="45" customHeight="1" x14ac:dyDescent="0.25">
      <c r="A172" s="920" t="s">
        <v>964</v>
      </c>
      <c r="B172" s="920"/>
      <c r="C172" s="920"/>
      <c r="D172" s="920"/>
      <c r="E172" s="920"/>
      <c r="F172" s="920"/>
      <c r="G172" s="346">
        <f>+H193</f>
        <v>1</v>
      </c>
      <c r="H172" s="346" t="e">
        <f>+I193</f>
        <v>#DIV/0!</v>
      </c>
      <c r="I172" s="346" t="e">
        <f>+J193</f>
        <v>#DIV/0!</v>
      </c>
      <c r="J172" s="346" t="e">
        <f>+K193</f>
        <v>#DIV/0!</v>
      </c>
      <c r="K172" s="346" t="e">
        <f>+L193</f>
        <v>#DIV/0!</v>
      </c>
    </row>
    <row r="173" spans="1:15" ht="45" customHeight="1" x14ac:dyDescent="0.25">
      <c r="A173" s="921" t="s">
        <v>965</v>
      </c>
      <c r="B173" s="922"/>
      <c r="C173" s="922"/>
      <c r="D173" s="922"/>
      <c r="E173" s="922"/>
      <c r="F173" s="923"/>
      <c r="G173" s="346">
        <f>+H196</f>
        <v>0.68021680216802172</v>
      </c>
      <c r="H173" s="346"/>
      <c r="I173" s="346"/>
      <c r="J173" s="346"/>
      <c r="K173" s="346"/>
    </row>
    <row r="174" spans="1:15" ht="47.25" customHeight="1" x14ac:dyDescent="0.25">
      <c r="A174" s="920" t="s">
        <v>966</v>
      </c>
      <c r="B174" s="920"/>
      <c r="C174" s="920"/>
      <c r="D174" s="920"/>
      <c r="E174" s="920"/>
      <c r="F174" s="920"/>
      <c r="G174" s="346">
        <v>0.8</v>
      </c>
      <c r="H174" s="346">
        <v>0.8</v>
      </c>
      <c r="I174" s="346">
        <v>0.8</v>
      </c>
      <c r="J174" s="346">
        <v>0.8</v>
      </c>
      <c r="K174" s="346">
        <v>0.8</v>
      </c>
    </row>
    <row r="175" spans="1:15" x14ac:dyDescent="0.25">
      <c r="A175" s="5"/>
    </row>
    <row r="176" spans="1:15" ht="32.25" customHeight="1" x14ac:dyDescent="0.25">
      <c r="A176" s="904" t="s">
        <v>958</v>
      </c>
      <c r="B176" s="905"/>
      <c r="C176" s="905"/>
      <c r="D176" s="905"/>
      <c r="E176" s="905"/>
      <c r="F176" s="905"/>
      <c r="G176" s="905"/>
      <c r="H176" s="905"/>
      <c r="I176" s="905"/>
      <c r="J176" s="905"/>
      <c r="K176" s="905"/>
      <c r="L176" s="905"/>
    </row>
    <row r="177" spans="1:17" s="351" customFormat="1" ht="17.5" x14ac:dyDescent="0.35">
      <c r="A177" s="924" t="s">
        <v>919</v>
      </c>
      <c r="B177" s="347"/>
      <c r="C177" s="347" t="s">
        <v>967</v>
      </c>
      <c r="D177" s="348" t="s">
        <v>968</v>
      </c>
      <c r="E177" s="347" t="s">
        <v>969</v>
      </c>
      <c r="F177" s="347" t="s">
        <v>970</v>
      </c>
      <c r="G177" s="349" t="s">
        <v>920</v>
      </c>
      <c r="H177" s="350" t="s">
        <v>921</v>
      </c>
      <c r="I177" s="350" t="s">
        <v>922</v>
      </c>
      <c r="J177" s="350" t="s">
        <v>923</v>
      </c>
      <c r="K177" s="350" t="s">
        <v>924</v>
      </c>
      <c r="L177" s="350" t="s">
        <v>959</v>
      </c>
      <c r="O177" s="300"/>
      <c r="P177" s="300"/>
      <c r="Q177" s="300"/>
    </row>
    <row r="178" spans="1:17" s="351" customFormat="1" ht="16.5" customHeight="1" x14ac:dyDescent="0.35">
      <c r="A178" s="925"/>
      <c r="B178" s="347" t="s">
        <v>971</v>
      </c>
      <c r="C178" s="347" t="s">
        <v>972</v>
      </c>
      <c r="D178" s="348"/>
      <c r="E178" s="347"/>
      <c r="F178" s="347"/>
      <c r="G178" s="352"/>
      <c r="H178" s="353" t="s">
        <v>926</v>
      </c>
      <c r="I178" s="353" t="s">
        <v>926</v>
      </c>
      <c r="J178" s="353" t="s">
        <v>926</v>
      </c>
      <c r="K178" s="353" t="s">
        <v>926</v>
      </c>
      <c r="L178" s="347"/>
      <c r="O178" s="300"/>
      <c r="P178" s="300"/>
      <c r="Q178" s="300"/>
    </row>
    <row r="179" spans="1:17" ht="27.75" customHeight="1" x14ac:dyDescent="0.25">
      <c r="A179" s="895" t="s">
        <v>973</v>
      </c>
      <c r="B179" s="457" t="s">
        <v>974</v>
      </c>
      <c r="C179" s="354">
        <v>36</v>
      </c>
      <c r="D179" s="460"/>
      <c r="E179" s="331"/>
      <c r="F179" s="331"/>
      <c r="G179" s="458" t="s">
        <v>975</v>
      </c>
      <c r="H179" s="355">
        <v>32</v>
      </c>
      <c r="I179" s="491"/>
      <c r="J179" s="311"/>
      <c r="K179" s="320"/>
      <c r="L179" s="331"/>
      <c r="O179" s="356"/>
      <c r="P179" s="356"/>
      <c r="Q179" s="356"/>
    </row>
    <row r="180" spans="1:17" ht="24" customHeight="1" x14ac:dyDescent="0.25">
      <c r="A180" s="895"/>
      <c r="B180" s="926" t="s">
        <v>976</v>
      </c>
      <c r="C180" s="927">
        <v>36</v>
      </c>
      <c r="D180" s="929"/>
      <c r="E180" s="914"/>
      <c r="F180" s="914"/>
      <c r="G180" s="458" t="s">
        <v>977</v>
      </c>
      <c r="H180" s="355">
        <v>25</v>
      </c>
      <c r="I180" s="491"/>
      <c r="J180" s="311"/>
      <c r="K180" s="320"/>
      <c r="L180" s="331"/>
      <c r="O180" s="357"/>
      <c r="P180" s="357"/>
      <c r="Q180" s="357"/>
    </row>
    <row r="181" spans="1:17" ht="15.75" customHeight="1" x14ac:dyDescent="0.25">
      <c r="A181" s="895"/>
      <c r="B181" s="926"/>
      <c r="C181" s="928"/>
      <c r="D181" s="930"/>
      <c r="E181" s="915"/>
      <c r="F181" s="915"/>
      <c r="G181" s="358" t="s">
        <v>978</v>
      </c>
      <c r="H181" s="359">
        <f>+H180/H179</f>
        <v>0.78125</v>
      </c>
      <c r="I181" s="359" t="e">
        <f>+I180/I179</f>
        <v>#DIV/0!</v>
      </c>
      <c r="J181" s="359" t="e">
        <f>+J180/J179</f>
        <v>#DIV/0!</v>
      </c>
      <c r="K181" s="359" t="e">
        <f>+K180/K179</f>
        <v>#DIV/0!</v>
      </c>
      <c r="L181" s="359" t="e">
        <f>+L180/L179</f>
        <v>#DIV/0!</v>
      </c>
      <c r="O181" s="357"/>
      <c r="P181" s="357"/>
      <c r="Q181" s="357"/>
    </row>
    <row r="182" spans="1:17" ht="22.5" customHeight="1" x14ac:dyDescent="0.25">
      <c r="A182" s="895" t="s">
        <v>979</v>
      </c>
      <c r="B182" s="458" t="s">
        <v>980</v>
      </c>
      <c r="C182" s="459">
        <v>512</v>
      </c>
      <c r="D182" s="460"/>
      <c r="E182" s="331"/>
      <c r="F182" s="331"/>
      <c r="G182" s="458" t="s">
        <v>981</v>
      </c>
      <c r="H182" s="360">
        <f>INT(0.8*C183/2)</f>
        <v>226</v>
      </c>
      <c r="I182" s="492"/>
      <c r="J182" s="361"/>
      <c r="K182" s="361"/>
      <c r="L182" s="331"/>
      <c r="O182" s="357"/>
      <c r="P182" s="357"/>
      <c r="Q182" s="357"/>
    </row>
    <row r="183" spans="1:17" ht="27.75" customHeight="1" x14ac:dyDescent="0.25">
      <c r="A183" s="895"/>
      <c r="B183" s="458" t="s">
        <v>982</v>
      </c>
      <c r="C183" s="459">
        <v>566</v>
      </c>
      <c r="D183" s="460"/>
      <c r="E183" s="331"/>
      <c r="F183" s="331"/>
      <c r="G183" s="458" t="s">
        <v>983</v>
      </c>
      <c r="H183" s="362">
        <v>171</v>
      </c>
      <c r="I183" s="493"/>
      <c r="J183" s="331"/>
      <c r="K183" s="331"/>
      <c r="L183" s="331"/>
      <c r="O183" s="357"/>
      <c r="P183" s="357"/>
      <c r="Q183" s="357"/>
    </row>
    <row r="184" spans="1:17" ht="19.5" customHeight="1" x14ac:dyDescent="0.25">
      <c r="A184" s="895"/>
      <c r="B184" s="458" t="s">
        <v>984</v>
      </c>
      <c r="C184" s="459">
        <v>596</v>
      </c>
      <c r="D184" s="460"/>
      <c r="E184" s="331"/>
      <c r="F184" s="331"/>
      <c r="G184" s="358" t="s">
        <v>961</v>
      </c>
      <c r="H184" s="363">
        <f>+H183/H182</f>
        <v>0.75663716814159288</v>
      </c>
      <c r="I184" s="364" t="e">
        <f>+I183/I182</f>
        <v>#DIV/0!</v>
      </c>
      <c r="J184" s="364" t="e">
        <f>+J183/J182</f>
        <v>#DIV/0!</v>
      </c>
      <c r="K184" s="364" t="e">
        <f>+K183/K182</f>
        <v>#DIV/0!</v>
      </c>
      <c r="L184" s="364" t="e">
        <f>+L183/L182</f>
        <v>#DIV/0!</v>
      </c>
      <c r="O184" s="357"/>
      <c r="P184" s="357"/>
      <c r="Q184" s="357"/>
    </row>
    <row r="185" spans="1:17" ht="24" x14ac:dyDescent="0.25">
      <c r="A185" s="895" t="s">
        <v>985</v>
      </c>
      <c r="B185" s="458" t="s">
        <v>986</v>
      </c>
      <c r="C185" s="459">
        <v>512</v>
      </c>
      <c r="D185" s="460"/>
      <c r="E185" s="331"/>
      <c r="F185" s="331"/>
      <c r="G185" s="458" t="s">
        <v>987</v>
      </c>
      <c r="H185" s="362">
        <f>INT(0.8*C186)</f>
        <v>50</v>
      </c>
      <c r="I185" s="493"/>
      <c r="J185" s="331"/>
      <c r="K185" s="331"/>
      <c r="L185" s="331"/>
      <c r="O185" s="357"/>
      <c r="P185" s="357"/>
      <c r="Q185" s="357"/>
    </row>
    <row r="186" spans="1:17" ht="24" x14ac:dyDescent="0.25">
      <c r="A186" s="895"/>
      <c r="B186" s="458" t="s">
        <v>988</v>
      </c>
      <c r="C186" s="459">
        <v>63</v>
      </c>
      <c r="D186" s="460"/>
      <c r="E186" s="331"/>
      <c r="F186" s="331"/>
      <c r="G186" s="458" t="s">
        <v>989</v>
      </c>
      <c r="H186" s="362">
        <v>20</v>
      </c>
      <c r="I186" s="493"/>
      <c r="J186" s="331"/>
      <c r="K186" s="331"/>
      <c r="L186" s="331"/>
      <c r="O186" s="357"/>
      <c r="P186" s="357"/>
      <c r="Q186" s="357"/>
    </row>
    <row r="187" spans="1:17" ht="24" x14ac:dyDescent="0.25">
      <c r="A187" s="895"/>
      <c r="B187" s="458" t="s">
        <v>990</v>
      </c>
      <c r="C187" s="459">
        <v>512</v>
      </c>
      <c r="D187" s="460"/>
      <c r="E187" s="331"/>
      <c r="F187" s="331"/>
      <c r="G187" s="358" t="s">
        <v>962</v>
      </c>
      <c r="H187" s="365">
        <f>+H186/H185</f>
        <v>0.4</v>
      </c>
      <c r="I187" s="366" t="e">
        <f>+I186/I185</f>
        <v>#DIV/0!</v>
      </c>
      <c r="J187" s="366" t="e">
        <f>+J186/J185</f>
        <v>#DIV/0!</v>
      </c>
      <c r="K187" s="366" t="e">
        <f>+K186/K185</f>
        <v>#DIV/0!</v>
      </c>
      <c r="L187" s="366" t="e">
        <f>+L186/L185</f>
        <v>#DIV/0!</v>
      </c>
      <c r="O187" s="357"/>
      <c r="P187" s="357"/>
      <c r="Q187" s="357"/>
    </row>
    <row r="188" spans="1:17" ht="27.75" customHeight="1" x14ac:dyDescent="0.25">
      <c r="A188" s="895" t="s">
        <v>943</v>
      </c>
      <c r="B188" s="458" t="s">
        <v>991</v>
      </c>
      <c r="C188" s="459">
        <v>74</v>
      </c>
      <c r="D188" s="460">
        <v>68</v>
      </c>
      <c r="E188" s="331"/>
      <c r="F188" s="331"/>
      <c r="G188" s="458" t="s">
        <v>992</v>
      </c>
      <c r="H188" s="362">
        <f>INT(C188*0.8)</f>
        <v>59</v>
      </c>
      <c r="I188" s="494">
        <v>68</v>
      </c>
      <c r="J188" s="331"/>
      <c r="K188" s="331"/>
      <c r="L188" s="331"/>
      <c r="O188" s="357"/>
      <c r="P188" s="357"/>
      <c r="Q188" s="357"/>
    </row>
    <row r="189" spans="1:17" ht="24" x14ac:dyDescent="0.25">
      <c r="A189" s="895"/>
      <c r="B189" s="896" t="s">
        <v>993</v>
      </c>
      <c r="C189" s="912">
        <v>74</v>
      </c>
      <c r="D189" s="913">
        <v>68</v>
      </c>
      <c r="E189" s="914"/>
      <c r="F189" s="914"/>
      <c r="G189" s="458" t="s">
        <v>994</v>
      </c>
      <c r="H189" s="362">
        <v>33</v>
      </c>
      <c r="I189" s="494">
        <v>49</v>
      </c>
      <c r="J189" s="331"/>
      <c r="K189" s="331"/>
      <c r="L189" s="331"/>
      <c r="O189" s="357"/>
      <c r="P189" s="357"/>
      <c r="Q189" s="357"/>
    </row>
    <row r="190" spans="1:17" ht="9" customHeight="1" x14ac:dyDescent="0.25">
      <c r="A190" s="895"/>
      <c r="B190" s="896"/>
      <c r="C190" s="912"/>
      <c r="D190" s="913"/>
      <c r="E190" s="915"/>
      <c r="F190" s="915"/>
      <c r="G190" s="367" t="s">
        <v>963</v>
      </c>
      <c r="H190" s="368">
        <f>+H189/H188</f>
        <v>0.55932203389830504</v>
      </c>
      <c r="I190" s="368">
        <f>+I189/I188</f>
        <v>0.72058823529411764</v>
      </c>
      <c r="J190" s="369" t="e">
        <f>+J189/J188</f>
        <v>#DIV/0!</v>
      </c>
      <c r="K190" s="369" t="e">
        <f>+K189/K188</f>
        <v>#DIV/0!</v>
      </c>
      <c r="L190" s="369" t="e">
        <f>+L189/L188</f>
        <v>#DIV/0!</v>
      </c>
      <c r="O190" s="357"/>
      <c r="P190" s="357"/>
      <c r="Q190" s="357"/>
    </row>
    <row r="191" spans="1:17" ht="24" x14ac:dyDescent="0.25">
      <c r="A191" s="895" t="s">
        <v>995</v>
      </c>
      <c r="B191" s="458" t="s">
        <v>996</v>
      </c>
      <c r="C191" s="459">
        <v>2</v>
      </c>
      <c r="D191" s="460"/>
      <c r="E191" s="331"/>
      <c r="F191" s="331"/>
      <c r="G191" s="458" t="s">
        <v>997</v>
      </c>
      <c r="H191" s="362">
        <v>2</v>
      </c>
      <c r="I191" s="493"/>
      <c r="J191" s="331"/>
      <c r="K191" s="331"/>
      <c r="L191" s="331"/>
      <c r="O191" s="357"/>
      <c r="P191" s="357"/>
      <c r="Q191" s="357"/>
    </row>
    <row r="192" spans="1:17" ht="24" x14ac:dyDescent="0.25">
      <c r="A192" s="895"/>
      <c r="B192" s="896" t="s">
        <v>998</v>
      </c>
      <c r="C192" s="912">
        <v>2</v>
      </c>
      <c r="D192" s="913"/>
      <c r="E192" s="914"/>
      <c r="F192" s="914"/>
      <c r="G192" s="458" t="s">
        <v>999</v>
      </c>
      <c r="H192" s="362">
        <v>2</v>
      </c>
      <c r="I192" s="493"/>
      <c r="J192" s="331"/>
      <c r="K192" s="331"/>
      <c r="L192" s="331"/>
      <c r="O192" s="28"/>
      <c r="P192" s="28"/>
      <c r="Q192" s="28"/>
    </row>
    <row r="193" spans="1:12" ht="9" customHeight="1" x14ac:dyDescent="0.25">
      <c r="A193" s="895"/>
      <c r="B193" s="896"/>
      <c r="C193" s="912"/>
      <c r="D193" s="913"/>
      <c r="E193" s="915"/>
      <c r="F193" s="915"/>
      <c r="G193" s="358" t="s">
        <v>964</v>
      </c>
      <c r="H193" s="368">
        <f>+H192/H191</f>
        <v>1</v>
      </c>
      <c r="I193" s="366" t="e">
        <f>+I192/I191</f>
        <v>#DIV/0!</v>
      </c>
      <c r="J193" s="366" t="e">
        <f>+J192/J191</f>
        <v>#DIV/0!</v>
      </c>
      <c r="K193" s="366" t="e">
        <f>+K192/K191</f>
        <v>#DIV/0!</v>
      </c>
      <c r="L193" s="366" t="e">
        <f>+L192/L191</f>
        <v>#DIV/0!</v>
      </c>
    </row>
    <row r="194" spans="1:12" x14ac:dyDescent="0.25">
      <c r="A194" s="918" t="s">
        <v>1000</v>
      </c>
      <c r="B194" s="918"/>
      <c r="C194" s="918"/>
      <c r="D194" s="918"/>
      <c r="E194" s="918"/>
      <c r="F194" s="918"/>
      <c r="G194" s="370" t="s">
        <v>1001</v>
      </c>
      <c r="H194" s="459">
        <f>+H179+H182+H185+H188+H191</f>
        <v>369</v>
      </c>
      <c r="I194" s="371"/>
      <c r="J194" s="371"/>
      <c r="K194" s="371"/>
      <c r="L194" s="371"/>
    </row>
    <row r="195" spans="1:12" x14ac:dyDescent="0.25">
      <c r="A195" s="919"/>
      <c r="B195" s="919"/>
      <c r="C195" s="919"/>
      <c r="D195" s="919"/>
      <c r="E195" s="919"/>
      <c r="F195" s="919"/>
      <c r="G195" s="370" t="s">
        <v>1002</v>
      </c>
      <c r="H195" s="459">
        <f>+H180+H183+H186+H189+H192</f>
        <v>251</v>
      </c>
      <c r="I195" s="371"/>
      <c r="J195" s="371"/>
      <c r="K195" s="371"/>
      <c r="L195" s="371"/>
    </row>
    <row r="196" spans="1:12" x14ac:dyDescent="0.25">
      <c r="A196" s="919"/>
      <c r="B196" s="919"/>
      <c r="C196" s="919"/>
      <c r="D196" s="919"/>
      <c r="E196" s="919"/>
      <c r="F196" s="919"/>
      <c r="G196" s="372" t="s">
        <v>1003</v>
      </c>
      <c r="H196" s="373">
        <f>+H195/H194</f>
        <v>0.68021680216802172</v>
      </c>
      <c r="I196" s="374"/>
      <c r="J196" s="374"/>
      <c r="K196" s="374"/>
      <c r="L196" s="374"/>
    </row>
    <row r="197" spans="1:12" x14ac:dyDescent="0.25">
      <c r="A197" s="375"/>
      <c r="B197" s="376"/>
      <c r="C197" s="217"/>
      <c r="D197" s="340"/>
      <c r="E197" s="217"/>
      <c r="F197" s="217"/>
      <c r="G197" s="376"/>
      <c r="H197" s="28"/>
      <c r="I197" s="28"/>
      <c r="J197" s="28"/>
      <c r="K197" s="28"/>
      <c r="L197" s="28"/>
    </row>
    <row r="198" spans="1:12" ht="34.5" customHeight="1" x14ac:dyDescent="0.25">
      <c r="A198" s="916" t="s">
        <v>1004</v>
      </c>
      <c r="B198" s="916"/>
      <c r="C198" s="916"/>
      <c r="D198" s="916"/>
      <c r="E198" s="916"/>
      <c r="F198" s="917"/>
      <c r="G198" s="377">
        <v>2016</v>
      </c>
      <c r="H198" s="377">
        <v>2017</v>
      </c>
      <c r="I198" s="377">
        <v>2018</v>
      </c>
      <c r="J198" s="377">
        <v>2019</v>
      </c>
      <c r="K198" s="377" t="s">
        <v>959</v>
      </c>
      <c r="L198" s="28"/>
    </row>
    <row r="199" spans="1:12" ht="34.5" customHeight="1" x14ac:dyDescent="0.25">
      <c r="A199" s="910" t="s">
        <v>960</v>
      </c>
      <c r="B199" s="911"/>
      <c r="C199" s="911"/>
      <c r="D199" s="420"/>
      <c r="E199" s="378">
        <f>+H213</f>
        <v>0.78125</v>
      </c>
      <c r="F199" s="378" t="e">
        <f>+I213</f>
        <v>#DIV/0!</v>
      </c>
      <c r="G199" s="378" t="e">
        <f>+J213</f>
        <v>#DIV/0!</v>
      </c>
      <c r="H199" s="378" t="e">
        <f>+K213</f>
        <v>#DIV/0!</v>
      </c>
      <c r="I199" s="378" t="e">
        <f>+L213</f>
        <v>#DIV/0!</v>
      </c>
      <c r="J199" s="28"/>
    </row>
    <row r="200" spans="1:12" ht="34.5" customHeight="1" x14ac:dyDescent="0.25">
      <c r="A200" s="910" t="s">
        <v>961</v>
      </c>
      <c r="B200" s="911"/>
      <c r="C200" s="911"/>
      <c r="D200" s="419"/>
      <c r="E200" s="378">
        <f>+H216</f>
        <v>0.85940185630800958</v>
      </c>
      <c r="F200" s="378" t="e">
        <f>+I216</f>
        <v>#DIV/0!</v>
      </c>
      <c r="G200" s="378" t="e">
        <f>+J216</f>
        <v>#DIV/0!</v>
      </c>
      <c r="H200" s="378" t="e">
        <f>+K216</f>
        <v>#DIV/0!</v>
      </c>
      <c r="I200" s="378" t="e">
        <f>+L216</f>
        <v>#DIV/0!</v>
      </c>
      <c r="J200" s="28"/>
    </row>
    <row r="201" spans="1:12" ht="34.5" customHeight="1" x14ac:dyDescent="0.25">
      <c r="A201" s="910" t="s">
        <v>962</v>
      </c>
      <c r="B201" s="911"/>
      <c r="C201" s="911"/>
      <c r="D201" s="419"/>
      <c r="E201" s="378">
        <f>+H219</f>
        <v>0.41428571428571426</v>
      </c>
      <c r="F201" s="378" t="e">
        <f>+I219</f>
        <v>#DIV/0!</v>
      </c>
      <c r="G201" s="378" t="e">
        <f>+J219</f>
        <v>#DIV/0!</v>
      </c>
      <c r="H201" s="378" t="e">
        <f>+K219</f>
        <v>#DIV/0!</v>
      </c>
      <c r="I201" s="378" t="e">
        <f>+L219</f>
        <v>#DIV/0!</v>
      </c>
      <c r="J201" s="28"/>
    </row>
    <row r="202" spans="1:12" ht="34.5" customHeight="1" x14ac:dyDescent="0.25">
      <c r="A202" s="910" t="s">
        <v>963</v>
      </c>
      <c r="B202" s="911"/>
      <c r="C202" s="911"/>
      <c r="D202" s="419"/>
      <c r="E202" s="378">
        <f>+H222</f>
        <v>0.29280052693827047</v>
      </c>
      <c r="F202" s="378">
        <f>+I222</f>
        <v>0.56252649497047558</v>
      </c>
      <c r="G202" s="378" t="e">
        <f>+J222</f>
        <v>#DIV/0!</v>
      </c>
      <c r="H202" s="495">
        <f>+I222</f>
        <v>0.56252649497047558</v>
      </c>
      <c r="I202" s="378" t="e">
        <f>+L222</f>
        <v>#DIV/0!</v>
      </c>
      <c r="J202" s="28"/>
    </row>
    <row r="203" spans="1:12" ht="34.5" customHeight="1" x14ac:dyDescent="0.25">
      <c r="A203" s="910" t="s">
        <v>964</v>
      </c>
      <c r="B203" s="911"/>
      <c r="C203" s="911"/>
      <c r="D203" s="419"/>
      <c r="E203" s="378">
        <f>+H225</f>
        <v>1</v>
      </c>
      <c r="F203" s="378" t="e">
        <f>+I225</f>
        <v>#DIV/0!</v>
      </c>
      <c r="G203" s="378" t="e">
        <f>+J225</f>
        <v>#DIV/0!</v>
      </c>
      <c r="H203" s="378" t="e">
        <f>+K225</f>
        <v>#DIV/0!</v>
      </c>
      <c r="I203" s="378" t="e">
        <f>+L225</f>
        <v>#DIV/0!</v>
      </c>
      <c r="J203" s="28"/>
    </row>
    <row r="204" spans="1:12" ht="34.5" customHeight="1" x14ac:dyDescent="0.25">
      <c r="A204" s="910" t="s">
        <v>1005</v>
      </c>
      <c r="B204" s="911"/>
      <c r="C204" s="911"/>
      <c r="D204" s="421"/>
      <c r="E204" s="378">
        <f>+H228</f>
        <v>0.29360178318505353</v>
      </c>
      <c r="F204" s="378"/>
      <c r="G204" s="378"/>
      <c r="H204" s="378"/>
      <c r="I204" s="378"/>
      <c r="J204" s="28"/>
    </row>
    <row r="205" spans="1:12" ht="22.5" customHeight="1" x14ac:dyDescent="0.25">
      <c r="A205" s="910" t="s">
        <v>966</v>
      </c>
      <c r="B205" s="911"/>
      <c r="C205" s="911"/>
      <c r="D205" s="419"/>
      <c r="E205" s="378">
        <v>0.8</v>
      </c>
      <c r="F205" s="378">
        <v>0.8</v>
      </c>
      <c r="G205" s="378">
        <v>0.8</v>
      </c>
      <c r="H205" s="378">
        <v>0.8</v>
      </c>
      <c r="I205" s="378">
        <v>0.8</v>
      </c>
      <c r="J205" s="28"/>
    </row>
    <row r="206" spans="1:12" x14ac:dyDescent="0.25">
      <c r="A206" s="375"/>
      <c r="B206" s="376"/>
      <c r="C206" s="217"/>
      <c r="D206" s="340"/>
      <c r="E206" s="217"/>
      <c r="F206" s="217"/>
      <c r="G206" s="376"/>
      <c r="H206" s="28"/>
      <c r="I206" s="28"/>
      <c r="J206" s="28"/>
      <c r="K206" s="28"/>
      <c r="L206" s="28"/>
    </row>
    <row r="207" spans="1:12" ht="56.25" customHeight="1" x14ac:dyDescent="0.25">
      <c r="A207" s="375"/>
      <c r="B207" s="376"/>
      <c r="C207" s="28"/>
      <c r="D207" s="340"/>
      <c r="E207" s="28"/>
      <c r="F207" s="28"/>
    </row>
    <row r="208" spans="1:12" ht="31.5" customHeight="1" x14ac:dyDescent="0.25">
      <c r="A208" s="904" t="s">
        <v>1004</v>
      </c>
      <c r="B208" s="905"/>
      <c r="C208" s="905"/>
      <c r="D208" s="905"/>
      <c r="E208" s="905"/>
      <c r="F208" s="905"/>
      <c r="G208" s="905"/>
      <c r="H208" s="905"/>
      <c r="I208" s="905"/>
      <c r="J208" s="905"/>
      <c r="K208" s="905"/>
      <c r="L208" s="905"/>
    </row>
    <row r="209" spans="1:12" ht="56.25" customHeight="1" x14ac:dyDescent="0.25">
      <c r="A209" s="906" t="s">
        <v>919</v>
      </c>
      <c r="B209" s="379"/>
      <c r="C209" s="379" t="s">
        <v>967</v>
      </c>
      <c r="D209" s="380" t="s">
        <v>968</v>
      </c>
      <c r="E209" s="379" t="s">
        <v>969</v>
      </c>
      <c r="F209" s="379" t="s">
        <v>970</v>
      </c>
      <c r="G209" s="310" t="s">
        <v>920</v>
      </c>
      <c r="H209" s="381" t="s">
        <v>921</v>
      </c>
      <c r="I209" s="350" t="s">
        <v>922</v>
      </c>
      <c r="J209" s="350" t="s">
        <v>923</v>
      </c>
      <c r="K209" s="350" t="s">
        <v>924</v>
      </c>
      <c r="L209" s="350" t="s">
        <v>959</v>
      </c>
    </row>
    <row r="210" spans="1:12" ht="27" customHeight="1" x14ac:dyDescent="0.25">
      <c r="A210" s="907"/>
      <c r="B210" s="379" t="s">
        <v>971</v>
      </c>
      <c r="C210" s="379" t="s">
        <v>972</v>
      </c>
      <c r="D210" s="380"/>
      <c r="E210" s="379"/>
      <c r="F210" s="379"/>
      <c r="G210" s="310"/>
      <c r="H210" s="382" t="s">
        <v>926</v>
      </c>
      <c r="I210" s="353" t="s">
        <v>926</v>
      </c>
      <c r="J210" s="383" t="s">
        <v>926</v>
      </c>
      <c r="K210" s="383" t="s">
        <v>926</v>
      </c>
      <c r="L210" s="331"/>
    </row>
    <row r="211" spans="1:12" ht="24" x14ac:dyDescent="0.25">
      <c r="A211" s="899" t="s">
        <v>973</v>
      </c>
      <c r="B211" s="461" t="s">
        <v>1006</v>
      </c>
      <c r="C211" s="462">
        <v>32</v>
      </c>
      <c r="D211" s="456"/>
      <c r="E211" s="384"/>
      <c r="F211" s="384"/>
      <c r="G211" s="458" t="s">
        <v>975</v>
      </c>
      <c r="H211" s="385">
        <v>32</v>
      </c>
      <c r="I211" s="491"/>
      <c r="J211" s="311"/>
      <c r="K211" s="320"/>
      <c r="L211" s="331"/>
    </row>
    <row r="212" spans="1:12" x14ac:dyDescent="0.25">
      <c r="A212" s="899"/>
      <c r="B212" s="908" t="s">
        <v>976</v>
      </c>
      <c r="C212" s="909">
        <v>32</v>
      </c>
      <c r="D212" s="898"/>
      <c r="E212" s="897"/>
      <c r="F212" s="897"/>
      <c r="G212" s="458" t="s">
        <v>977</v>
      </c>
      <c r="H212" s="385">
        <v>25</v>
      </c>
      <c r="I212" s="491"/>
      <c r="J212" s="311"/>
      <c r="K212" s="320"/>
      <c r="L212" s="331"/>
    </row>
    <row r="213" spans="1:12" x14ac:dyDescent="0.25">
      <c r="A213" s="899"/>
      <c r="B213" s="908"/>
      <c r="C213" s="909"/>
      <c r="D213" s="898"/>
      <c r="E213" s="897"/>
      <c r="F213" s="897"/>
      <c r="G213" s="367" t="s">
        <v>978</v>
      </c>
      <c r="H213" s="386">
        <f>+H212/H211</f>
        <v>0.78125</v>
      </c>
      <c r="I213" s="386" t="e">
        <f>+I212/I211</f>
        <v>#DIV/0!</v>
      </c>
      <c r="J213" s="386" t="e">
        <f>+J212/J211</f>
        <v>#DIV/0!</v>
      </c>
      <c r="K213" s="386" t="e">
        <f>+K212/K211</f>
        <v>#DIV/0!</v>
      </c>
      <c r="L213" s="386" t="e">
        <f>+L212/L211</f>
        <v>#DIV/0!</v>
      </c>
    </row>
    <row r="214" spans="1:12" ht="26.25" customHeight="1" x14ac:dyDescent="0.25">
      <c r="A214" s="899" t="s">
        <v>979</v>
      </c>
      <c r="B214" s="387" t="s">
        <v>980</v>
      </c>
      <c r="C214" s="463">
        <v>512</v>
      </c>
      <c r="D214" s="456"/>
      <c r="E214" s="384"/>
      <c r="F214" s="384"/>
      <c r="G214" s="458" t="s">
        <v>1007</v>
      </c>
      <c r="H214" s="388">
        <f>0.8*C215/2</f>
        <v>34.908000000000001</v>
      </c>
      <c r="I214" s="492"/>
      <c r="J214" s="311"/>
      <c r="K214" s="311"/>
      <c r="L214" s="331"/>
    </row>
    <row r="215" spans="1:12" ht="24" x14ac:dyDescent="0.25">
      <c r="A215" s="899"/>
      <c r="B215" s="387" t="s">
        <v>1008</v>
      </c>
      <c r="C215" s="463">
        <v>87.27</v>
      </c>
      <c r="D215" s="456"/>
      <c r="E215" s="384"/>
      <c r="F215" s="384"/>
      <c r="G215" s="458" t="s">
        <v>1009</v>
      </c>
      <c r="H215" s="362">
        <v>30</v>
      </c>
      <c r="I215" s="493"/>
      <c r="J215" s="331"/>
      <c r="K215" s="331"/>
      <c r="L215" s="331"/>
    </row>
    <row r="216" spans="1:12" ht="24" x14ac:dyDescent="0.25">
      <c r="A216" s="899"/>
      <c r="B216" s="387" t="s">
        <v>1010</v>
      </c>
      <c r="C216" s="463">
        <v>596</v>
      </c>
      <c r="D216" s="456"/>
      <c r="E216" s="384"/>
      <c r="F216" s="384"/>
      <c r="G216" s="367" t="s">
        <v>1011</v>
      </c>
      <c r="H216" s="389">
        <f>+H215/H214</f>
        <v>0.85940185630800958</v>
      </c>
      <c r="I216" s="390" t="e">
        <f>+I215/I214</f>
        <v>#DIV/0!</v>
      </c>
      <c r="J216" s="390" t="e">
        <f>+J215/J214</f>
        <v>#DIV/0!</v>
      </c>
      <c r="K216" s="390" t="e">
        <f>+K215/K214</f>
        <v>#DIV/0!</v>
      </c>
      <c r="L216" s="390" t="e">
        <f>+L215/L214</f>
        <v>#DIV/0!</v>
      </c>
    </row>
    <row r="217" spans="1:12" ht="24" x14ac:dyDescent="0.25">
      <c r="A217" s="899" t="s">
        <v>985</v>
      </c>
      <c r="B217" s="458" t="s">
        <v>1012</v>
      </c>
      <c r="C217" s="463">
        <v>891.5</v>
      </c>
      <c r="D217" s="456"/>
      <c r="E217" s="384"/>
      <c r="F217" s="384"/>
      <c r="G217" s="458" t="s">
        <v>1013</v>
      </c>
      <c r="H217" s="362">
        <v>7</v>
      </c>
      <c r="I217" s="493"/>
      <c r="J217" s="331"/>
      <c r="K217" s="331"/>
      <c r="L217" s="331"/>
    </row>
    <row r="218" spans="1:12" ht="24" x14ac:dyDescent="0.25">
      <c r="A218" s="899"/>
      <c r="B218" s="458" t="s">
        <v>1014</v>
      </c>
      <c r="C218" s="463">
        <v>9.1300000000000008</v>
      </c>
      <c r="D218" s="456"/>
      <c r="E218" s="384"/>
      <c r="F218" s="384"/>
      <c r="G218" s="458" t="s">
        <v>1015</v>
      </c>
      <c r="H218" s="362">
        <v>2.9</v>
      </c>
      <c r="I218" s="493"/>
      <c r="J218" s="331"/>
      <c r="K218" s="331"/>
      <c r="L218" s="331"/>
    </row>
    <row r="219" spans="1:12" ht="24" x14ac:dyDescent="0.25">
      <c r="A219" s="899"/>
      <c r="B219" s="458" t="s">
        <v>1016</v>
      </c>
      <c r="C219" s="463">
        <v>891.5</v>
      </c>
      <c r="D219" s="456"/>
      <c r="E219" s="384"/>
      <c r="F219" s="384"/>
      <c r="G219" s="367" t="s">
        <v>1017</v>
      </c>
      <c r="H219" s="389">
        <f>+H218/H217</f>
        <v>0.41428571428571426</v>
      </c>
      <c r="I219" s="390" t="e">
        <f>+I218/I217</f>
        <v>#DIV/0!</v>
      </c>
      <c r="J219" s="390" t="e">
        <f>+J218/J217</f>
        <v>#DIV/0!</v>
      </c>
      <c r="K219" s="390" t="e">
        <f>+K218/K217</f>
        <v>#DIV/0!</v>
      </c>
      <c r="L219" s="390" t="e">
        <f>+L218/L217</f>
        <v>#DIV/0!</v>
      </c>
    </row>
    <row r="220" spans="1:12" ht="36" x14ac:dyDescent="0.25">
      <c r="A220" s="899" t="s">
        <v>943</v>
      </c>
      <c r="B220" s="458" t="s">
        <v>1148</v>
      </c>
      <c r="C220" s="496">
        <v>68</v>
      </c>
      <c r="D220" s="456">
        <f>+C220</f>
        <v>68</v>
      </c>
      <c r="E220" s="384"/>
      <c r="F220" s="384"/>
      <c r="G220" s="458" t="s">
        <v>1018</v>
      </c>
      <c r="H220" s="391">
        <f>0.8*C221</f>
        <v>46942.880000000005</v>
      </c>
      <c r="I220" s="497">
        <v>55034.03</v>
      </c>
      <c r="J220" s="331"/>
      <c r="K220" s="331"/>
      <c r="L220" s="331"/>
    </row>
    <row r="221" spans="1:12" x14ac:dyDescent="0.25">
      <c r="A221" s="899"/>
      <c r="B221" s="900" t="s">
        <v>1149</v>
      </c>
      <c r="C221" s="901">
        <v>58678.6</v>
      </c>
      <c r="D221" s="902">
        <v>58678.6</v>
      </c>
      <c r="E221" s="897"/>
      <c r="F221" s="897"/>
      <c r="G221" s="458" t="s">
        <v>1019</v>
      </c>
      <c r="H221" s="392">
        <v>13744.9</v>
      </c>
      <c r="I221" s="497">
        <v>30958.1</v>
      </c>
      <c r="J221" s="331"/>
      <c r="K221" s="331"/>
      <c r="L221" s="331"/>
    </row>
    <row r="222" spans="1:12" ht="24" x14ac:dyDescent="0.25">
      <c r="A222" s="899"/>
      <c r="B222" s="900"/>
      <c r="C222" s="901"/>
      <c r="D222" s="902"/>
      <c r="E222" s="897"/>
      <c r="F222" s="897"/>
      <c r="G222" s="367" t="s">
        <v>1020</v>
      </c>
      <c r="H222" s="393">
        <f>+H221/H220</f>
        <v>0.29280052693827047</v>
      </c>
      <c r="I222" s="498">
        <f>+I221/I220</f>
        <v>0.56252649497047558</v>
      </c>
      <c r="J222" s="369" t="e">
        <f>+J221/J220</f>
        <v>#DIV/0!</v>
      </c>
      <c r="K222" s="369" t="e">
        <f>+K221/K220</f>
        <v>#DIV/0!</v>
      </c>
      <c r="L222" s="369" t="e">
        <f>+L221/L220</f>
        <v>#DIV/0!</v>
      </c>
    </row>
    <row r="223" spans="1:12" ht="24" x14ac:dyDescent="0.25">
      <c r="A223" s="895" t="s">
        <v>995</v>
      </c>
      <c r="B223" s="458" t="s">
        <v>1021</v>
      </c>
      <c r="C223" s="463">
        <v>2</v>
      </c>
      <c r="D223" s="456"/>
      <c r="E223" s="384"/>
      <c r="F223" s="384"/>
      <c r="G223" s="458" t="s">
        <v>997</v>
      </c>
      <c r="H223" s="459">
        <v>2</v>
      </c>
      <c r="I223" s="493"/>
      <c r="J223" s="331"/>
      <c r="K223" s="331"/>
      <c r="L223" s="331"/>
    </row>
    <row r="224" spans="1:12" ht="24" x14ac:dyDescent="0.25">
      <c r="A224" s="895"/>
      <c r="B224" s="896" t="s">
        <v>1022</v>
      </c>
      <c r="C224" s="897">
        <v>2</v>
      </c>
      <c r="D224" s="898"/>
      <c r="E224" s="897"/>
      <c r="F224" s="897"/>
      <c r="G224" s="458" t="s">
        <v>999</v>
      </c>
      <c r="H224" s="459">
        <v>2</v>
      </c>
      <c r="I224" s="493"/>
      <c r="J224" s="331"/>
      <c r="K224" s="331"/>
      <c r="L224" s="331"/>
    </row>
    <row r="225" spans="1:15" ht="24" x14ac:dyDescent="0.25">
      <c r="A225" s="895"/>
      <c r="B225" s="896"/>
      <c r="C225" s="897"/>
      <c r="D225" s="898"/>
      <c r="E225" s="897"/>
      <c r="F225" s="897"/>
      <c r="G225" s="367" t="s">
        <v>964</v>
      </c>
      <c r="H225" s="394">
        <f>+H224/H223</f>
        <v>1</v>
      </c>
      <c r="I225" s="395" t="e">
        <f>+I224/I223</f>
        <v>#DIV/0!</v>
      </c>
      <c r="J225" s="395" t="e">
        <f>+J224/J223</f>
        <v>#DIV/0!</v>
      </c>
      <c r="K225" s="395" t="e">
        <f>+K224/K223</f>
        <v>#DIV/0!</v>
      </c>
      <c r="L225" s="395" t="e">
        <f>+L224/L223</f>
        <v>#DIV/0!</v>
      </c>
    </row>
    <row r="226" spans="1:15" x14ac:dyDescent="0.25">
      <c r="A226" s="903" t="s">
        <v>1000</v>
      </c>
      <c r="B226" s="903"/>
      <c r="C226" s="903"/>
      <c r="D226" s="903"/>
      <c r="E226" s="903"/>
      <c r="F226" s="903"/>
      <c r="G226" s="370" t="s">
        <v>1001</v>
      </c>
      <c r="H226" s="396">
        <f>+H211+H214+H217+H220+H223</f>
        <v>47018.788000000008</v>
      </c>
      <c r="I226" s="397"/>
      <c r="J226" s="397"/>
      <c r="K226" s="397"/>
      <c r="L226" s="397"/>
    </row>
    <row r="227" spans="1:15" x14ac:dyDescent="0.25">
      <c r="A227" s="903"/>
      <c r="B227" s="903"/>
      <c r="C227" s="903"/>
      <c r="D227" s="903"/>
      <c r="E227" s="903"/>
      <c r="F227" s="903"/>
      <c r="G227" s="370" t="s">
        <v>1002</v>
      </c>
      <c r="H227" s="396">
        <f>+H212+H215+H218+H221+H224</f>
        <v>13804.8</v>
      </c>
      <c r="I227" s="397"/>
      <c r="J227" s="397"/>
      <c r="K227" s="397"/>
      <c r="L227" s="331"/>
    </row>
    <row r="228" spans="1:15" x14ac:dyDescent="0.25">
      <c r="A228" s="903"/>
      <c r="B228" s="903"/>
      <c r="C228" s="903"/>
      <c r="D228" s="903"/>
      <c r="E228" s="903"/>
      <c r="F228" s="903"/>
      <c r="G228" s="398" t="s">
        <v>1003</v>
      </c>
      <c r="H228" s="394">
        <f>+H227/H226</f>
        <v>0.29360178318505353</v>
      </c>
      <c r="I228" s="395"/>
      <c r="J228" s="395"/>
      <c r="K228" s="395"/>
      <c r="L228" s="395"/>
    </row>
    <row r="229" spans="1:15" ht="42" customHeight="1" x14ac:dyDescent="0.25">
      <c r="A229" s="375"/>
      <c r="B229" s="339"/>
      <c r="C229" s="399"/>
      <c r="D229" s="455"/>
      <c r="E229" s="399"/>
      <c r="F229" s="399"/>
      <c r="G229" s="339"/>
      <c r="H229" s="28"/>
      <c r="I229" s="28"/>
      <c r="J229" s="28"/>
      <c r="K229" s="28"/>
    </row>
    <row r="230" spans="1:15" ht="35.25" customHeight="1" x14ac:dyDescent="0.25">
      <c r="A230" s="885" t="s">
        <v>909</v>
      </c>
      <c r="B230" s="885"/>
      <c r="C230" s="885"/>
      <c r="D230" s="885"/>
      <c r="E230" s="885"/>
      <c r="F230" s="885"/>
      <c r="G230" s="885"/>
      <c r="H230" s="885"/>
      <c r="I230" s="885"/>
      <c r="J230" s="885"/>
      <c r="K230" s="885"/>
      <c r="L230" s="885"/>
      <c r="M230" s="885"/>
      <c r="N230" s="885"/>
      <c r="O230" s="885"/>
    </row>
    <row r="231" spans="1:15" ht="42" customHeight="1" x14ac:dyDescent="0.25">
      <c r="A231" s="887" t="s">
        <v>1023</v>
      </c>
      <c r="B231" s="887"/>
      <c r="C231" s="400" t="s">
        <v>921</v>
      </c>
      <c r="D231" s="401" t="s">
        <v>922</v>
      </c>
      <c r="E231" s="400" t="s">
        <v>923</v>
      </c>
      <c r="F231" s="400" t="s">
        <v>924</v>
      </c>
      <c r="G231" s="400" t="s">
        <v>959</v>
      </c>
      <c r="I231" s="28"/>
      <c r="J231" s="28"/>
      <c r="K231" s="28"/>
    </row>
    <row r="232" spans="1:15" ht="14.25" customHeight="1" x14ac:dyDescent="0.25">
      <c r="A232" s="892" t="s">
        <v>1024</v>
      </c>
      <c r="B232" s="311" t="s">
        <v>929</v>
      </c>
      <c r="C232" s="402">
        <f>33+9</f>
        <v>42</v>
      </c>
      <c r="D232" s="403">
        <v>14</v>
      </c>
      <c r="E232" s="404"/>
      <c r="F232" s="404"/>
      <c r="G232" s="405"/>
      <c r="I232" s="28"/>
      <c r="J232" s="28"/>
      <c r="K232" s="28"/>
    </row>
    <row r="233" spans="1:15" x14ac:dyDescent="0.25">
      <c r="A233" s="893"/>
      <c r="B233" s="311" t="s">
        <v>930</v>
      </c>
      <c r="C233" s="402">
        <v>41</v>
      </c>
      <c r="D233" s="403">
        <v>21</v>
      </c>
      <c r="E233" s="404"/>
      <c r="F233" s="404"/>
      <c r="G233" s="405"/>
      <c r="I233" s="28"/>
      <c r="J233" s="28"/>
      <c r="K233" s="28"/>
    </row>
    <row r="234" spans="1:15" x14ac:dyDescent="0.25">
      <c r="A234" s="893"/>
      <c r="B234" s="311" t="s">
        <v>931</v>
      </c>
      <c r="C234" s="402">
        <v>37</v>
      </c>
      <c r="D234" s="403">
        <v>9</v>
      </c>
      <c r="E234" s="404"/>
      <c r="F234" s="404"/>
      <c r="G234" s="405"/>
      <c r="I234" s="28"/>
      <c r="J234" s="28"/>
      <c r="K234" s="28"/>
    </row>
    <row r="235" spans="1:15" x14ac:dyDescent="0.25">
      <c r="A235" s="893"/>
      <c r="B235" s="311" t="s">
        <v>932</v>
      </c>
      <c r="C235" s="402"/>
      <c r="D235" s="403"/>
      <c r="E235" s="404"/>
      <c r="F235" s="404"/>
      <c r="G235" s="405"/>
      <c r="I235" s="28"/>
      <c r="J235" s="28"/>
      <c r="K235" s="28"/>
    </row>
    <row r="236" spans="1:15" x14ac:dyDescent="0.25">
      <c r="A236" s="894"/>
      <c r="B236" s="329" t="s">
        <v>81</v>
      </c>
      <c r="C236" s="406">
        <f>SUM(C232:C235)</f>
        <v>120</v>
      </c>
      <c r="D236" s="407">
        <f>SUM(D232:D235)</f>
        <v>44</v>
      </c>
      <c r="E236" s="408">
        <f>SUM(E232:E235)</f>
        <v>0</v>
      </c>
      <c r="F236" s="408">
        <f>SUM(F232:F235)</f>
        <v>0</v>
      </c>
      <c r="G236" s="408">
        <f>SUM(G232:G235)</f>
        <v>0</v>
      </c>
      <c r="H236" s="28"/>
      <c r="I236" s="28"/>
      <c r="J236" s="28"/>
      <c r="K236" s="28"/>
    </row>
    <row r="237" spans="1:15" x14ac:dyDescent="0.25">
      <c r="A237" s="886" t="s">
        <v>1025</v>
      </c>
      <c r="B237" s="311" t="s">
        <v>929</v>
      </c>
      <c r="C237" s="409">
        <v>3</v>
      </c>
      <c r="D237" s="456">
        <v>12</v>
      </c>
      <c r="E237" s="463"/>
      <c r="F237" s="463"/>
      <c r="G237" s="458"/>
      <c r="H237" s="28"/>
      <c r="I237" s="28"/>
      <c r="J237" s="28"/>
      <c r="K237" s="28"/>
    </row>
    <row r="238" spans="1:15" x14ac:dyDescent="0.25">
      <c r="A238" s="886"/>
      <c r="B238" s="311" t="s">
        <v>930</v>
      </c>
      <c r="C238" s="409">
        <v>6</v>
      </c>
      <c r="D238" s="456">
        <v>7</v>
      </c>
      <c r="E238" s="463"/>
      <c r="F238" s="463"/>
      <c r="G238" s="458"/>
      <c r="H238" s="28"/>
      <c r="I238" s="28"/>
      <c r="J238" s="28"/>
      <c r="K238" s="28"/>
    </row>
    <row r="239" spans="1:15" x14ac:dyDescent="0.25">
      <c r="A239" s="886"/>
      <c r="B239" s="311" t="s">
        <v>931</v>
      </c>
      <c r="C239" s="409">
        <v>22</v>
      </c>
      <c r="D239" s="456">
        <v>4</v>
      </c>
      <c r="E239" s="463"/>
      <c r="F239" s="463"/>
      <c r="G239" s="458"/>
      <c r="H239" s="28"/>
      <c r="I239" s="28"/>
      <c r="J239" s="28"/>
      <c r="K239" s="28"/>
    </row>
    <row r="240" spans="1:15" x14ac:dyDescent="0.25">
      <c r="A240" s="886"/>
      <c r="B240" s="311" t="s">
        <v>932</v>
      </c>
      <c r="C240" s="402"/>
      <c r="D240" s="403"/>
      <c r="E240" s="404"/>
      <c r="F240" s="404"/>
      <c r="G240" s="405"/>
      <c r="H240" s="28"/>
      <c r="I240" s="28"/>
      <c r="J240" s="28"/>
      <c r="K240" s="28"/>
    </row>
    <row r="241" spans="1:15" x14ac:dyDescent="0.25">
      <c r="A241" s="886"/>
      <c r="B241" s="329" t="s">
        <v>81</v>
      </c>
      <c r="C241" s="406">
        <f>SUM(C237:C240)</f>
        <v>31</v>
      </c>
      <c r="D241" s="407">
        <f>SUM(D237:D240)</f>
        <v>23</v>
      </c>
      <c r="E241" s="408">
        <f>SUM(E237:E240)</f>
        <v>0</v>
      </c>
      <c r="F241" s="408">
        <f>SUM(F237:F240)</f>
        <v>0</v>
      </c>
      <c r="G241" s="408">
        <f>SUM(G237:G240)</f>
        <v>0</v>
      </c>
      <c r="H241" s="28"/>
      <c r="I241" s="28"/>
      <c r="J241" s="28"/>
      <c r="K241" s="28"/>
    </row>
    <row r="242" spans="1:15" x14ac:dyDescent="0.25">
      <c r="A242" s="886" t="s">
        <v>1026</v>
      </c>
      <c r="B242" s="311" t="s">
        <v>929</v>
      </c>
      <c r="C242" s="409">
        <v>0</v>
      </c>
      <c r="D242" s="456">
        <v>0</v>
      </c>
      <c r="E242" s="463"/>
      <c r="F242" s="463"/>
      <c r="G242" s="458"/>
      <c r="H242" s="28"/>
      <c r="I242" s="28"/>
      <c r="J242" s="28"/>
      <c r="K242" s="28"/>
    </row>
    <row r="243" spans="1:15" x14ac:dyDescent="0.25">
      <c r="A243" s="886"/>
      <c r="B243" s="311" t="s">
        <v>930</v>
      </c>
      <c r="C243" s="409">
        <v>0</v>
      </c>
      <c r="D243" s="456">
        <v>0</v>
      </c>
      <c r="E243" s="463"/>
      <c r="F243" s="463"/>
      <c r="G243" s="458"/>
      <c r="H243" s="28"/>
      <c r="I243" s="28"/>
      <c r="J243" s="28"/>
      <c r="K243" s="28"/>
    </row>
    <row r="244" spans="1:15" x14ac:dyDescent="0.25">
      <c r="A244" s="886"/>
      <c r="B244" s="311" t="s">
        <v>931</v>
      </c>
      <c r="C244" s="409">
        <v>0</v>
      </c>
      <c r="D244" s="456">
        <v>0</v>
      </c>
      <c r="E244" s="463"/>
      <c r="F244" s="463"/>
      <c r="G244" s="458"/>
      <c r="H244" s="28"/>
      <c r="I244" s="28"/>
      <c r="J244" s="28"/>
      <c r="K244" s="28"/>
    </row>
    <row r="245" spans="1:15" x14ac:dyDescent="0.25">
      <c r="A245" s="886"/>
      <c r="B245" s="311" t="s">
        <v>932</v>
      </c>
      <c r="C245" s="402"/>
      <c r="D245" s="403"/>
      <c r="E245" s="404"/>
      <c r="F245" s="404"/>
      <c r="G245" s="405"/>
      <c r="H245" s="28"/>
      <c r="I245" s="28"/>
      <c r="J245" s="28"/>
      <c r="K245" s="28"/>
    </row>
    <row r="246" spans="1:15" x14ac:dyDescent="0.25">
      <c r="A246" s="886"/>
      <c r="B246" s="329" t="s">
        <v>81</v>
      </c>
      <c r="C246" s="406">
        <f>SUM(C242:C245)</f>
        <v>0</v>
      </c>
      <c r="D246" s="407">
        <f>SUM(D242:D245)</f>
        <v>0</v>
      </c>
      <c r="E246" s="408">
        <f>SUM(E242:E245)</f>
        <v>0</v>
      </c>
      <c r="F246" s="408">
        <f>SUM(F242:F245)</f>
        <v>0</v>
      </c>
      <c r="G246" s="408">
        <f>SUM(G242:G245)</f>
        <v>0</v>
      </c>
      <c r="H246" s="28"/>
      <c r="I246" s="28"/>
      <c r="J246" s="28"/>
      <c r="K246" s="28"/>
    </row>
    <row r="247" spans="1:15" x14ac:dyDescent="0.25">
      <c r="A247" s="886" t="s">
        <v>1027</v>
      </c>
      <c r="B247" s="311" t="s">
        <v>929</v>
      </c>
      <c r="C247" s="410">
        <f>+(C237+C242)/C232</f>
        <v>7.1428571428571425E-2</v>
      </c>
      <c r="D247" s="410">
        <f>+(D237+D242)/D232</f>
        <v>0.8571428571428571</v>
      </c>
      <c r="E247" s="463"/>
      <c r="F247" s="463"/>
      <c r="G247" s="458"/>
      <c r="H247" s="28"/>
      <c r="I247" s="28"/>
      <c r="J247" s="28"/>
      <c r="K247" s="28"/>
    </row>
    <row r="248" spans="1:15" x14ac:dyDescent="0.25">
      <c r="A248" s="886"/>
      <c r="B248" s="311" t="s">
        <v>930</v>
      </c>
      <c r="C248" s="410">
        <f>(C238+C243)/C233</f>
        <v>0.14634146341463414</v>
      </c>
      <c r="D248" s="410">
        <f>(D238+D243)/D233</f>
        <v>0.33333333333333331</v>
      </c>
      <c r="E248" s="463"/>
      <c r="F248" s="463"/>
      <c r="G248" s="458"/>
      <c r="H248" s="28"/>
      <c r="I248" s="28"/>
      <c r="J248" s="28"/>
      <c r="K248" s="28"/>
    </row>
    <row r="249" spans="1:15" x14ac:dyDescent="0.25">
      <c r="A249" s="886"/>
      <c r="B249" s="311" t="s">
        <v>931</v>
      </c>
      <c r="C249" s="410">
        <f>+(C239+C244)/C234</f>
        <v>0.59459459459459463</v>
      </c>
      <c r="D249" s="410">
        <f>+(D239+D244)/D234</f>
        <v>0.44444444444444442</v>
      </c>
      <c r="E249" s="463"/>
      <c r="F249" s="463"/>
      <c r="G249" s="458"/>
      <c r="H249" s="28"/>
      <c r="I249" s="28"/>
      <c r="J249" s="28"/>
      <c r="K249" s="28"/>
    </row>
    <row r="250" spans="1:15" x14ac:dyDescent="0.25">
      <c r="A250" s="886"/>
      <c r="B250" s="311" t="s">
        <v>932</v>
      </c>
      <c r="C250" s="402"/>
      <c r="D250" s="403"/>
      <c r="E250" s="404"/>
      <c r="F250" s="404"/>
      <c r="G250" s="405"/>
      <c r="H250" s="28"/>
      <c r="I250" s="28"/>
      <c r="J250" s="28"/>
      <c r="K250" s="28"/>
    </row>
    <row r="251" spans="1:15" x14ac:dyDescent="0.25">
      <c r="A251" s="886"/>
      <c r="B251" s="329" t="s">
        <v>81</v>
      </c>
      <c r="C251" s="411">
        <f>(C241+C246)/C236</f>
        <v>0.25833333333333336</v>
      </c>
      <c r="D251" s="411">
        <f>(D241+D246)/D236</f>
        <v>0.52272727272727271</v>
      </c>
      <c r="E251" s="408">
        <f>SUM(E247:E250)</f>
        <v>0</v>
      </c>
      <c r="F251" s="408">
        <f>SUM(F247:F250)</f>
        <v>0</v>
      </c>
      <c r="G251" s="408">
        <f>SUM(G247:G250)</f>
        <v>0</v>
      </c>
      <c r="H251" s="28"/>
      <c r="I251" s="28"/>
      <c r="J251" s="28"/>
      <c r="K251" s="28"/>
    </row>
    <row r="252" spans="1:15" x14ac:dyDescent="0.25">
      <c r="A252" s="412"/>
      <c r="B252" s="28"/>
      <c r="C252" s="399"/>
      <c r="D252" s="455"/>
      <c r="E252" s="399"/>
      <c r="F252" s="399"/>
      <c r="G252" s="399"/>
      <c r="H252" s="28"/>
      <c r="I252" s="28"/>
      <c r="J252" s="28"/>
      <c r="K252" s="28"/>
    </row>
    <row r="253" spans="1:15" ht="35.25" customHeight="1" x14ac:dyDescent="0.25">
      <c r="A253" s="885" t="s">
        <v>1028</v>
      </c>
      <c r="B253" s="885"/>
      <c r="C253" s="885"/>
      <c r="D253" s="885"/>
      <c r="E253" s="885"/>
      <c r="F253" s="885"/>
      <c r="G253" s="885"/>
      <c r="H253" s="885"/>
      <c r="I253" s="885"/>
      <c r="J253" s="885"/>
      <c r="K253" s="885"/>
      <c r="L253" s="885"/>
      <c r="M253" s="885"/>
      <c r="N253" s="885"/>
      <c r="O253" s="885"/>
    </row>
    <row r="254" spans="1:15" x14ac:dyDescent="0.25">
      <c r="A254" s="412"/>
      <c r="B254" s="28"/>
      <c r="C254" s="399"/>
      <c r="D254" s="455"/>
      <c r="E254" s="399"/>
      <c r="F254" s="399"/>
      <c r="G254" s="399"/>
      <c r="H254" s="28"/>
      <c r="I254" s="28"/>
      <c r="J254" s="28"/>
      <c r="K254" s="28"/>
    </row>
    <row r="255" spans="1:15" ht="27.75" customHeight="1" x14ac:dyDescent="0.25">
      <c r="A255" s="887" t="s">
        <v>1029</v>
      </c>
      <c r="B255" s="887"/>
      <c r="C255" s="400" t="s">
        <v>921</v>
      </c>
      <c r="D255" s="401" t="s">
        <v>922</v>
      </c>
      <c r="E255" s="400" t="s">
        <v>923</v>
      </c>
      <c r="F255" s="400" t="s">
        <v>924</v>
      </c>
      <c r="G255" s="400" t="s">
        <v>959</v>
      </c>
      <c r="H255" s="28"/>
      <c r="I255" s="28"/>
      <c r="J255" s="28"/>
      <c r="K255" s="28"/>
    </row>
    <row r="256" spans="1:15" ht="14" x14ac:dyDescent="0.3">
      <c r="A256" s="888" t="s">
        <v>1030</v>
      </c>
      <c r="B256" s="413" t="s">
        <v>929</v>
      </c>
      <c r="C256" s="404">
        <v>354</v>
      </c>
      <c r="D256" s="403">
        <v>353</v>
      </c>
      <c r="E256" s="404"/>
      <c r="F256" s="404"/>
      <c r="G256" s="405"/>
      <c r="H256" s="28"/>
      <c r="I256" s="28"/>
      <c r="J256" s="28"/>
      <c r="K256" s="28"/>
    </row>
    <row r="257" spans="1:11" ht="14" x14ac:dyDescent="0.3">
      <c r="A257" s="889"/>
      <c r="B257" s="413" t="s">
        <v>930</v>
      </c>
      <c r="C257" s="404">
        <f>540-C256</f>
        <v>186</v>
      </c>
      <c r="D257" s="403">
        <f>926-353</f>
        <v>573</v>
      </c>
      <c r="E257" s="404"/>
      <c r="F257" s="404"/>
      <c r="G257" s="405"/>
      <c r="H257" s="28"/>
      <c r="I257" s="28"/>
      <c r="J257" s="28"/>
      <c r="K257" s="28"/>
    </row>
    <row r="258" spans="1:11" ht="14" x14ac:dyDescent="0.3">
      <c r="A258" s="889"/>
      <c r="B258" s="413" t="s">
        <v>931</v>
      </c>
      <c r="C258" s="414">
        <f>742-540</f>
        <v>202</v>
      </c>
      <c r="D258" s="403">
        <f>1126-353-573</f>
        <v>200</v>
      </c>
      <c r="E258" s="404"/>
      <c r="F258" s="404"/>
      <c r="G258" s="405"/>
      <c r="H258" s="28"/>
      <c r="I258" s="28"/>
      <c r="J258" s="28"/>
      <c r="K258" s="28"/>
    </row>
    <row r="259" spans="1:11" ht="14" x14ac:dyDescent="0.3">
      <c r="A259" s="889"/>
      <c r="B259" s="413" t="s">
        <v>932</v>
      </c>
      <c r="C259" s="404">
        <f>836-742</f>
        <v>94</v>
      </c>
      <c r="D259" s="403"/>
      <c r="E259" s="404"/>
      <c r="F259" s="404"/>
      <c r="G259" s="405"/>
      <c r="H259" s="28"/>
      <c r="I259" s="28"/>
      <c r="J259" s="28"/>
      <c r="K259" s="28"/>
    </row>
    <row r="260" spans="1:11" ht="14" x14ac:dyDescent="0.3">
      <c r="A260" s="890"/>
      <c r="B260" s="415" t="s">
        <v>81</v>
      </c>
      <c r="C260" s="416">
        <f>SUM(C256:C259)</f>
        <v>836</v>
      </c>
      <c r="D260" s="407">
        <f>SUM(D256:D259)</f>
        <v>1126</v>
      </c>
      <c r="E260" s="408">
        <f>SUM(E256:E259)</f>
        <v>0</v>
      </c>
      <c r="F260" s="408">
        <f>SUM(F256:F259)</f>
        <v>0</v>
      </c>
      <c r="G260" s="408">
        <f>SUM(G256:G259)</f>
        <v>0</v>
      </c>
      <c r="H260" s="28"/>
      <c r="I260" s="28"/>
      <c r="J260" s="28"/>
      <c r="K260" s="28"/>
    </row>
    <row r="261" spans="1:11" ht="14" x14ac:dyDescent="0.3">
      <c r="A261" s="891" t="s">
        <v>1031</v>
      </c>
      <c r="B261" s="413" t="s">
        <v>929</v>
      </c>
      <c r="C261" s="463">
        <f>354-30</f>
        <v>324</v>
      </c>
      <c r="D261" s="456">
        <v>340</v>
      </c>
      <c r="E261" s="463"/>
      <c r="F261" s="463"/>
      <c r="G261" s="458"/>
      <c r="H261" s="28"/>
      <c r="I261" s="28"/>
      <c r="J261" s="28"/>
      <c r="K261" s="28"/>
    </row>
    <row r="262" spans="1:11" ht="14" x14ac:dyDescent="0.3">
      <c r="A262" s="891"/>
      <c r="B262" s="413" t="s">
        <v>930</v>
      </c>
      <c r="C262" s="463">
        <f>186-35</f>
        <v>151</v>
      </c>
      <c r="D262" s="456">
        <f>872-340</f>
        <v>532</v>
      </c>
      <c r="E262" s="463"/>
      <c r="F262" s="463"/>
      <c r="G262" s="458"/>
      <c r="H262" s="28"/>
      <c r="I262" s="28"/>
      <c r="J262" s="28"/>
      <c r="K262" s="28"/>
    </row>
    <row r="263" spans="1:11" ht="14" x14ac:dyDescent="0.3">
      <c r="A263" s="891"/>
      <c r="B263" s="413" t="s">
        <v>931</v>
      </c>
      <c r="C263" s="463">
        <f>692-475</f>
        <v>217</v>
      </c>
      <c r="D263" s="456">
        <f>1071-532-340</f>
        <v>199</v>
      </c>
      <c r="E263" s="463"/>
      <c r="F263" s="463"/>
      <c r="G263" s="458"/>
      <c r="H263" s="28"/>
      <c r="I263" s="28"/>
      <c r="J263" s="28"/>
      <c r="K263" s="28"/>
    </row>
    <row r="264" spans="1:11" ht="14" x14ac:dyDescent="0.3">
      <c r="A264" s="891"/>
      <c r="B264" s="413" t="s">
        <v>932</v>
      </c>
      <c r="C264" s="404">
        <f>774-692</f>
        <v>82</v>
      </c>
      <c r="D264" s="403"/>
      <c r="E264" s="404"/>
      <c r="F264" s="404"/>
      <c r="G264" s="405"/>
      <c r="H264" s="28"/>
      <c r="I264" s="28"/>
      <c r="J264" s="28"/>
      <c r="K264" s="28"/>
    </row>
    <row r="265" spans="1:11" ht="14" x14ac:dyDescent="0.3">
      <c r="A265" s="891"/>
      <c r="B265" s="415" t="s">
        <v>81</v>
      </c>
      <c r="C265" s="416">
        <f>SUM(C261:C264)</f>
        <v>774</v>
      </c>
      <c r="D265" s="407">
        <f>SUM(D261:D264)</f>
        <v>1071</v>
      </c>
      <c r="E265" s="408">
        <f>SUM(E261:E264)</f>
        <v>0</v>
      </c>
      <c r="F265" s="408">
        <f>SUM(F261:F264)</f>
        <v>0</v>
      </c>
      <c r="G265" s="408">
        <f>SUM(G261:G264)</f>
        <v>0</v>
      </c>
      <c r="H265" s="28"/>
      <c r="I265" s="28"/>
      <c r="J265" s="28"/>
      <c r="K265" s="28"/>
    </row>
    <row r="266" spans="1:11" ht="14" x14ac:dyDescent="0.3">
      <c r="A266" s="891" t="s">
        <v>1032</v>
      </c>
      <c r="B266" s="413" t="s">
        <v>929</v>
      </c>
      <c r="C266" s="417">
        <f>+C261/C256</f>
        <v>0.9152542372881356</v>
      </c>
      <c r="D266" s="417">
        <f>+D261/D256</f>
        <v>0.96317280453257792</v>
      </c>
      <c r="E266" s="463" t="e">
        <f>+E261/E256</f>
        <v>#DIV/0!</v>
      </c>
      <c r="F266" s="463" t="e">
        <f>+F261/F256</f>
        <v>#DIV/0!</v>
      </c>
      <c r="G266" s="463" t="e">
        <f>+G261/G256</f>
        <v>#DIV/0!</v>
      </c>
      <c r="H266" s="28"/>
      <c r="I266" s="28"/>
      <c r="J266" s="28"/>
      <c r="K266" s="28"/>
    </row>
    <row r="267" spans="1:11" ht="14" x14ac:dyDescent="0.3">
      <c r="A267" s="891"/>
      <c r="B267" s="413" t="s">
        <v>930</v>
      </c>
      <c r="C267" s="417">
        <f t="shared" ref="C267:G269" si="6">+C262/C257</f>
        <v>0.81182795698924726</v>
      </c>
      <c r="D267" s="417">
        <f t="shared" si="6"/>
        <v>0.92844677137870857</v>
      </c>
      <c r="E267" s="463" t="e">
        <f t="shared" si="6"/>
        <v>#DIV/0!</v>
      </c>
      <c r="F267" s="463" t="e">
        <f t="shared" si="6"/>
        <v>#DIV/0!</v>
      </c>
      <c r="G267" s="463" t="e">
        <f t="shared" si="6"/>
        <v>#DIV/0!</v>
      </c>
      <c r="H267" s="28"/>
      <c r="I267" s="28"/>
      <c r="J267" s="28"/>
      <c r="K267" s="28"/>
    </row>
    <row r="268" spans="1:11" ht="21.75" customHeight="1" x14ac:dyDescent="0.3">
      <c r="A268" s="891"/>
      <c r="B268" s="413" t="s">
        <v>931</v>
      </c>
      <c r="C268" s="417">
        <f t="shared" si="6"/>
        <v>1.0742574257425743</v>
      </c>
      <c r="D268" s="417">
        <f t="shared" si="6"/>
        <v>0.995</v>
      </c>
      <c r="E268" s="463" t="e">
        <f t="shared" si="6"/>
        <v>#DIV/0!</v>
      </c>
      <c r="F268" s="463" t="e">
        <f t="shared" si="6"/>
        <v>#DIV/0!</v>
      </c>
      <c r="G268" s="463" t="e">
        <f t="shared" si="6"/>
        <v>#DIV/0!</v>
      </c>
      <c r="H268" s="28"/>
      <c r="I268" s="28"/>
      <c r="J268" s="28"/>
      <c r="K268" s="28"/>
    </row>
    <row r="269" spans="1:11" ht="14" x14ac:dyDescent="0.3">
      <c r="A269" s="891"/>
      <c r="B269" s="413" t="s">
        <v>932</v>
      </c>
      <c r="C269" s="417">
        <f>+C264/C259</f>
        <v>0.87234042553191493</v>
      </c>
      <c r="D269" s="456" t="e">
        <f t="shared" si="6"/>
        <v>#DIV/0!</v>
      </c>
      <c r="E269" s="463" t="e">
        <f t="shared" si="6"/>
        <v>#DIV/0!</v>
      </c>
      <c r="F269" s="463" t="e">
        <f t="shared" si="6"/>
        <v>#DIV/0!</v>
      </c>
      <c r="G269" s="463" t="e">
        <f t="shared" si="6"/>
        <v>#DIV/0!</v>
      </c>
      <c r="H269" s="28"/>
      <c r="I269" s="28"/>
      <c r="J269" s="28"/>
      <c r="K269" s="28"/>
    </row>
    <row r="270" spans="1:11" x14ac:dyDescent="0.25">
      <c r="A270" s="891"/>
      <c r="B270" s="337" t="s">
        <v>81</v>
      </c>
      <c r="C270" s="418">
        <f>+C265/C260</f>
        <v>0.92583732057416268</v>
      </c>
      <c r="D270" s="499">
        <f>+D265/D260</f>
        <v>0.95115452930728239</v>
      </c>
      <c r="E270" s="408" t="e">
        <f>+E265/E260</f>
        <v>#DIV/0!</v>
      </c>
      <c r="F270" s="408" t="e">
        <f>+F265/F260</f>
        <v>#DIV/0!</v>
      </c>
      <c r="G270" s="408" t="e">
        <f>+G265/G260</f>
        <v>#DIV/0!</v>
      </c>
      <c r="H270" s="28"/>
      <c r="I270" s="28"/>
      <c r="J270" s="28"/>
      <c r="K270" s="28"/>
    </row>
    <row r="271" spans="1:11" x14ac:dyDescent="0.25">
      <c r="A271" s="412"/>
      <c r="B271" s="28"/>
      <c r="C271" s="399"/>
      <c r="D271" s="455"/>
      <c r="E271" s="399"/>
      <c r="F271" s="399"/>
      <c r="G271" s="399"/>
      <c r="H271" s="28"/>
      <c r="I271" s="28"/>
      <c r="J271" s="28"/>
      <c r="K271" s="28"/>
    </row>
    <row r="272" spans="1:11" x14ac:dyDescent="0.25">
      <c r="A272" s="412"/>
      <c r="B272" s="28"/>
      <c r="C272" s="399"/>
      <c r="D272" s="455"/>
      <c r="E272" s="399"/>
      <c r="F272" s="399"/>
      <c r="G272" s="399"/>
      <c r="H272" s="28"/>
      <c r="I272" s="28"/>
      <c r="J272" s="28"/>
      <c r="K272" s="28"/>
    </row>
    <row r="273" spans="1:15" ht="42" customHeight="1" x14ac:dyDescent="0.25">
      <c r="A273" s="375"/>
      <c r="B273" s="339"/>
      <c r="C273" s="399"/>
      <c r="D273" s="455"/>
      <c r="E273" s="399"/>
      <c r="F273" s="399"/>
      <c r="G273" s="339"/>
      <c r="H273" s="28"/>
      <c r="I273" s="28"/>
      <c r="J273" s="28"/>
      <c r="K273" s="28"/>
    </row>
    <row r="274" spans="1:15" ht="35.25" customHeight="1" x14ac:dyDescent="0.25">
      <c r="A274" s="885" t="str">
        <f>+D26</f>
        <v xml:space="preserve">Porcentaje (%) de encuesta de satisfacción calificadas por los usuarios de trámites ambientales resueltos con una nota superior o igual a  cuatro (4,0) sobre cinco (5.0). </v>
      </c>
      <c r="B274" s="885"/>
      <c r="C274" s="885"/>
      <c r="D274" s="885"/>
      <c r="E274" s="885"/>
      <c r="F274" s="885"/>
      <c r="G274" s="885"/>
      <c r="H274" s="885"/>
      <c r="I274" s="885"/>
      <c r="J274" s="885"/>
      <c r="K274" s="885"/>
      <c r="L274" s="885"/>
      <c r="M274" s="885"/>
      <c r="N274" s="885"/>
      <c r="O274" s="885"/>
    </row>
    <row r="276" spans="1:15" ht="32.25" customHeight="1" x14ac:dyDescent="0.25">
      <c r="A276" s="26"/>
      <c r="G276" s="341">
        <v>2016</v>
      </c>
      <c r="H276" s="341">
        <v>2017</v>
      </c>
      <c r="I276" s="341">
        <v>2018</v>
      </c>
      <c r="J276" s="341">
        <v>2019</v>
      </c>
      <c r="K276" s="154"/>
    </row>
    <row r="277" spans="1:15" ht="32.25" customHeight="1" x14ac:dyDescent="0.45">
      <c r="B277" s="501"/>
      <c r="C277" s="501"/>
      <c r="D277" s="501"/>
      <c r="E277" s="501"/>
      <c r="F277" s="500" t="s">
        <v>1033</v>
      </c>
      <c r="G277" s="32">
        <f>+K287</f>
        <v>1</v>
      </c>
      <c r="H277" s="32">
        <v>1</v>
      </c>
      <c r="I277" s="191"/>
      <c r="J277" s="191"/>
    </row>
    <row r="278" spans="1:15" ht="32.25" customHeight="1" x14ac:dyDescent="0.45">
      <c r="B278" s="501"/>
      <c r="C278" s="501"/>
      <c r="D278" s="501"/>
      <c r="E278" s="501"/>
      <c r="F278" s="500" t="s">
        <v>1034</v>
      </c>
      <c r="G278" s="32">
        <f>+K291</f>
        <v>0.8</v>
      </c>
      <c r="H278" s="32"/>
      <c r="I278" s="191"/>
      <c r="J278" s="191"/>
    </row>
    <row r="279" spans="1:15" ht="32.25" customHeight="1" x14ac:dyDescent="0.45">
      <c r="B279" s="501"/>
      <c r="C279" s="501"/>
      <c r="D279" s="501"/>
      <c r="E279" s="501"/>
      <c r="F279" s="500" t="s">
        <v>1035</v>
      </c>
      <c r="G279" s="32">
        <f>+K288</f>
        <v>1</v>
      </c>
      <c r="H279" s="32"/>
      <c r="I279" s="191"/>
      <c r="J279" s="191"/>
    </row>
    <row r="280" spans="1:15" ht="32.25" customHeight="1" x14ac:dyDescent="0.45">
      <c r="B280" s="501"/>
      <c r="C280" s="501"/>
      <c r="D280" s="501"/>
      <c r="E280" s="501"/>
      <c r="F280" s="500" t="s">
        <v>1036</v>
      </c>
      <c r="G280" s="32">
        <f>+K289</f>
        <v>0.9375</v>
      </c>
      <c r="H280" s="32"/>
      <c r="I280" s="191"/>
      <c r="J280" s="191"/>
    </row>
    <row r="281" spans="1:15" ht="32.25" customHeight="1" x14ac:dyDescent="0.45">
      <c r="B281" s="501"/>
      <c r="C281" s="501"/>
      <c r="D281" s="501"/>
      <c r="E281" s="501"/>
      <c r="F281" s="500" t="s">
        <v>1037</v>
      </c>
      <c r="G281" s="32">
        <f>+K290</f>
        <v>0.72727272727272729</v>
      </c>
      <c r="H281" s="32"/>
      <c r="I281" s="191"/>
      <c r="J281" s="191"/>
    </row>
    <row r="282" spans="1:15" ht="22.5" customHeight="1" x14ac:dyDescent="0.45">
      <c r="B282" s="501"/>
      <c r="C282" s="501"/>
      <c r="D282" s="501"/>
      <c r="E282" s="501"/>
      <c r="F282" s="500" t="s">
        <v>1038</v>
      </c>
      <c r="G282" s="32">
        <f>+K292</f>
        <v>0.8571428571428571</v>
      </c>
      <c r="H282" s="32">
        <f>+K298</f>
        <v>1</v>
      </c>
      <c r="I282" s="191"/>
      <c r="J282" s="191"/>
    </row>
    <row r="283" spans="1:15" ht="23" x14ac:dyDescent="0.45">
      <c r="B283" s="501"/>
      <c r="C283" s="501"/>
      <c r="D283" s="501"/>
      <c r="E283" s="501"/>
      <c r="F283" s="500" t="s">
        <v>76</v>
      </c>
      <c r="G283" s="32">
        <v>0.9</v>
      </c>
      <c r="H283" s="32">
        <v>0.9</v>
      </c>
      <c r="I283" s="191">
        <v>0.9</v>
      </c>
      <c r="J283" s="191">
        <v>0.9</v>
      </c>
    </row>
    <row r="284" spans="1:15" x14ac:dyDescent="0.25">
      <c r="A284" s="5"/>
    </row>
    <row r="285" spans="1:15" ht="17.5" x14ac:dyDescent="0.25">
      <c r="A285" s="5"/>
      <c r="B285" s="28"/>
      <c r="C285" s="28"/>
      <c r="D285" s="340"/>
      <c r="G285" s="858" t="s">
        <v>77</v>
      </c>
      <c r="H285" s="858"/>
      <c r="I285" s="858" t="s">
        <v>78</v>
      </c>
      <c r="J285" s="858"/>
      <c r="K285" s="858"/>
      <c r="L285" s="858" t="s">
        <v>79</v>
      </c>
      <c r="M285" s="858"/>
      <c r="N285" s="858"/>
      <c r="O285" s="858"/>
    </row>
    <row r="286" spans="1:15" ht="137.25" customHeight="1" x14ac:dyDescent="0.25">
      <c r="A286" s="5"/>
      <c r="G286" s="858"/>
      <c r="H286" s="858"/>
      <c r="I286" s="59" t="s">
        <v>804</v>
      </c>
      <c r="J286" s="59" t="s">
        <v>220</v>
      </c>
      <c r="K286" s="59" t="s">
        <v>805</v>
      </c>
      <c r="L286" s="858"/>
      <c r="M286" s="858"/>
      <c r="N286" s="858"/>
      <c r="O286" s="858"/>
    </row>
    <row r="287" spans="1:15" ht="36.75" customHeight="1" x14ac:dyDescent="0.3">
      <c r="B287" s="29"/>
      <c r="C287" s="30"/>
      <c r="D287" s="344"/>
      <c r="G287" s="880">
        <v>2016</v>
      </c>
      <c r="H287" s="34" t="s">
        <v>560</v>
      </c>
      <c r="I287" s="464">
        <v>1</v>
      </c>
      <c r="J287" s="464">
        <v>1</v>
      </c>
      <c r="K287" s="155">
        <f t="shared" ref="K287:K298" si="7">+I287/J287</f>
        <v>1</v>
      </c>
      <c r="L287" s="869"/>
      <c r="M287" s="869"/>
      <c r="N287" s="869"/>
      <c r="O287" s="869"/>
    </row>
    <row r="288" spans="1:15" ht="36.75" customHeight="1" x14ac:dyDescent="0.3">
      <c r="B288" s="29"/>
      <c r="C288" s="30"/>
      <c r="D288" s="344"/>
      <c r="G288" s="881"/>
      <c r="H288" s="34" t="s">
        <v>563</v>
      </c>
      <c r="I288" s="464">
        <v>4</v>
      </c>
      <c r="J288" s="464">
        <v>4</v>
      </c>
      <c r="K288" s="155">
        <f t="shared" si="7"/>
        <v>1</v>
      </c>
      <c r="L288" s="869"/>
      <c r="M288" s="869"/>
      <c r="N288" s="869"/>
      <c r="O288" s="869"/>
    </row>
    <row r="289" spans="2:15" ht="36.75" customHeight="1" x14ac:dyDescent="0.3">
      <c r="B289" s="29"/>
      <c r="C289" s="30"/>
      <c r="D289" s="344"/>
      <c r="G289" s="881"/>
      <c r="H289" s="34" t="s">
        <v>564</v>
      </c>
      <c r="I289" s="464">
        <v>15</v>
      </c>
      <c r="J289" s="464">
        <v>16</v>
      </c>
      <c r="K289" s="155">
        <f t="shared" si="7"/>
        <v>0.9375</v>
      </c>
      <c r="L289" s="869"/>
      <c r="M289" s="869"/>
      <c r="N289" s="869"/>
      <c r="O289" s="869"/>
    </row>
    <row r="290" spans="2:15" ht="38.25" customHeight="1" x14ac:dyDescent="0.3">
      <c r="B290" s="29"/>
      <c r="C290" s="30"/>
      <c r="D290" s="344"/>
      <c r="G290" s="881"/>
      <c r="H290" s="34" t="s">
        <v>80</v>
      </c>
      <c r="I290" s="464">
        <v>8</v>
      </c>
      <c r="J290" s="464">
        <v>11</v>
      </c>
      <c r="K290" s="155">
        <f t="shared" si="7"/>
        <v>0.72727272727272729</v>
      </c>
      <c r="L290" s="869"/>
      <c r="M290" s="869"/>
      <c r="N290" s="869"/>
      <c r="O290" s="869"/>
    </row>
    <row r="291" spans="2:15" ht="41.25" customHeight="1" x14ac:dyDescent="0.25">
      <c r="G291" s="881"/>
      <c r="H291" s="34" t="s">
        <v>565</v>
      </c>
      <c r="I291" s="464">
        <v>8</v>
      </c>
      <c r="J291" s="464">
        <v>10</v>
      </c>
      <c r="K291" s="155">
        <f t="shared" si="7"/>
        <v>0.8</v>
      </c>
      <c r="L291" s="869"/>
      <c r="M291" s="869"/>
      <c r="N291" s="869"/>
      <c r="O291" s="869"/>
    </row>
    <row r="292" spans="2:15" ht="48.75" customHeight="1" x14ac:dyDescent="0.25">
      <c r="G292" s="882"/>
      <c r="H292" s="465" t="s">
        <v>81</v>
      </c>
      <c r="I292" s="35">
        <f>SUM(I287:I291)</f>
        <v>36</v>
      </c>
      <c r="J292" s="35">
        <f>SUM(J287:J291)</f>
        <v>42</v>
      </c>
      <c r="K292" s="33">
        <f t="shared" si="7"/>
        <v>0.8571428571428571</v>
      </c>
      <c r="L292" s="883"/>
      <c r="M292" s="883"/>
      <c r="N292" s="883"/>
      <c r="O292" s="884"/>
    </row>
    <row r="293" spans="2:15" ht="56.25" customHeight="1" x14ac:dyDescent="0.25">
      <c r="G293" s="880">
        <v>2017</v>
      </c>
      <c r="H293" s="34" t="s">
        <v>560</v>
      </c>
      <c r="I293" s="452">
        <v>33</v>
      </c>
      <c r="J293" s="452">
        <v>33</v>
      </c>
      <c r="K293" s="33">
        <f t="shared" si="7"/>
        <v>1</v>
      </c>
      <c r="L293" s="860"/>
      <c r="M293" s="860"/>
      <c r="N293" s="860"/>
      <c r="O293" s="860"/>
    </row>
    <row r="294" spans="2:15" ht="59.25" customHeight="1" x14ac:dyDescent="0.25">
      <c r="G294" s="881"/>
      <c r="H294" s="34" t="s">
        <v>563</v>
      </c>
      <c r="I294" s="452"/>
      <c r="J294" s="452"/>
      <c r="K294" s="33" t="e">
        <f t="shared" si="7"/>
        <v>#DIV/0!</v>
      </c>
      <c r="L294" s="860"/>
      <c r="M294" s="860"/>
      <c r="N294" s="860"/>
      <c r="O294" s="860"/>
    </row>
    <row r="295" spans="2:15" ht="41.25" customHeight="1" x14ac:dyDescent="0.25">
      <c r="G295" s="881"/>
      <c r="H295" s="34" t="s">
        <v>564</v>
      </c>
      <c r="I295" s="452"/>
      <c r="J295" s="452"/>
      <c r="K295" s="33" t="e">
        <f t="shared" si="7"/>
        <v>#DIV/0!</v>
      </c>
      <c r="L295" s="860"/>
      <c r="M295" s="860"/>
      <c r="N295" s="860"/>
      <c r="O295" s="860"/>
    </row>
    <row r="296" spans="2:15" ht="44.25" customHeight="1" x14ac:dyDescent="0.25">
      <c r="G296" s="881"/>
      <c r="H296" s="34" t="s">
        <v>80</v>
      </c>
      <c r="I296" s="452"/>
      <c r="J296" s="452"/>
      <c r="K296" s="33" t="e">
        <f t="shared" si="7"/>
        <v>#DIV/0!</v>
      </c>
      <c r="L296" s="870"/>
      <c r="M296" s="870"/>
      <c r="N296" s="870"/>
      <c r="O296" s="870"/>
    </row>
    <row r="297" spans="2:15" ht="50.25" customHeight="1" x14ac:dyDescent="0.25">
      <c r="G297" s="881"/>
      <c r="H297" s="34" t="s">
        <v>565</v>
      </c>
      <c r="I297" s="452"/>
      <c r="J297" s="452"/>
      <c r="K297" s="33" t="e">
        <f t="shared" si="7"/>
        <v>#DIV/0!</v>
      </c>
      <c r="L297" s="860"/>
      <c r="M297" s="860"/>
      <c r="N297" s="860"/>
      <c r="O297" s="860"/>
    </row>
    <row r="298" spans="2:15" ht="57.75" customHeight="1" x14ac:dyDescent="0.25">
      <c r="G298" s="882"/>
      <c r="H298" s="465" t="s">
        <v>81</v>
      </c>
      <c r="I298" s="35">
        <f>SUM(I293:I297)</f>
        <v>33</v>
      </c>
      <c r="J298" s="35">
        <f>SUM(J293:J297)</f>
        <v>33</v>
      </c>
      <c r="K298" s="33">
        <f t="shared" si="7"/>
        <v>1</v>
      </c>
      <c r="L298" s="883"/>
      <c r="M298" s="883"/>
      <c r="N298" s="883"/>
      <c r="O298" s="884"/>
    </row>
    <row r="299" spans="2:15" ht="57" customHeight="1" x14ac:dyDescent="0.25"/>
    <row r="300" spans="2:15" ht="24" customHeight="1" x14ac:dyDescent="0.25"/>
    <row r="301" spans="2:15" ht="69.75" customHeight="1" x14ac:dyDescent="0.25"/>
  </sheetData>
  <mergeCells count="237">
    <mergeCell ref="C35:C37"/>
    <mergeCell ref="D35:D37"/>
    <mergeCell ref="E35:E37"/>
    <mergeCell ref="F35:F37"/>
    <mergeCell ref="G35:I37"/>
    <mergeCell ref="J35:J37"/>
    <mergeCell ref="K35:K37"/>
    <mergeCell ref="N35:N37"/>
    <mergeCell ref="O35:O37"/>
    <mergeCell ref="C32:C34"/>
    <mergeCell ref="D32:D34"/>
    <mergeCell ref="E32:E34"/>
    <mergeCell ref="F32:F34"/>
    <mergeCell ref="G32:I34"/>
    <mergeCell ref="J32:J34"/>
    <mergeCell ref="K32:K34"/>
    <mergeCell ref="N32:N34"/>
    <mergeCell ref="O32:O34"/>
    <mergeCell ref="C29:C31"/>
    <mergeCell ref="D29:D31"/>
    <mergeCell ref="E29:E31"/>
    <mergeCell ref="F29:F31"/>
    <mergeCell ref="G29:I31"/>
    <mergeCell ref="J29:J31"/>
    <mergeCell ref="K29:K31"/>
    <mergeCell ref="N29:N31"/>
    <mergeCell ref="O29:O31"/>
    <mergeCell ref="A1:D1"/>
    <mergeCell ref="A2:O2"/>
    <mergeCell ref="A4:B8"/>
    <mergeCell ref="C4:C8"/>
    <mergeCell ref="D4:D8"/>
    <mergeCell ref="E4:E8"/>
    <mergeCell ref="F4:F8"/>
    <mergeCell ref="G4:I4"/>
    <mergeCell ref="J4:J8"/>
    <mergeCell ref="K4:K8"/>
    <mergeCell ref="L4:M4"/>
    <mergeCell ref="N4:N8"/>
    <mergeCell ref="O4:O8"/>
    <mergeCell ref="O9:O10"/>
    <mergeCell ref="C11:C13"/>
    <mergeCell ref="D11:D13"/>
    <mergeCell ref="E11:E13"/>
    <mergeCell ref="F11:F13"/>
    <mergeCell ref="G11:I13"/>
    <mergeCell ref="J11:J13"/>
    <mergeCell ref="K11:K13"/>
    <mergeCell ref="N11:N13"/>
    <mergeCell ref="O11:O13"/>
    <mergeCell ref="C9:C10"/>
    <mergeCell ref="D9:D10"/>
    <mergeCell ref="E9:E10"/>
    <mergeCell ref="F9:F10"/>
    <mergeCell ref="G9:I10"/>
    <mergeCell ref="J9:J10"/>
    <mergeCell ref="K9:K10"/>
    <mergeCell ref="N9:N10"/>
    <mergeCell ref="N20:N22"/>
    <mergeCell ref="O14:O16"/>
    <mergeCell ref="C17:C19"/>
    <mergeCell ref="D17:D19"/>
    <mergeCell ref="E17:E19"/>
    <mergeCell ref="F17:F19"/>
    <mergeCell ref="G17:I19"/>
    <mergeCell ref="J17:J19"/>
    <mergeCell ref="K17:K19"/>
    <mergeCell ref="N17:N19"/>
    <mergeCell ref="O17:O19"/>
    <mergeCell ref="C14:C16"/>
    <mergeCell ref="D14:D16"/>
    <mergeCell ref="E14:E16"/>
    <mergeCell ref="F14:F16"/>
    <mergeCell ref="G14:I16"/>
    <mergeCell ref="J14:J16"/>
    <mergeCell ref="K14:K16"/>
    <mergeCell ref="N14:N16"/>
    <mergeCell ref="J23:J25"/>
    <mergeCell ref="K23:K25"/>
    <mergeCell ref="C20:C22"/>
    <mergeCell ref="D20:D22"/>
    <mergeCell ref="E20:E22"/>
    <mergeCell ref="F20:F22"/>
    <mergeCell ref="G20:I22"/>
    <mergeCell ref="J20:J22"/>
    <mergeCell ref="K20:K22"/>
    <mergeCell ref="O26:O28"/>
    <mergeCell ref="A40:S40"/>
    <mergeCell ref="A43:A44"/>
    <mergeCell ref="A45:A59"/>
    <mergeCell ref="B45:B49"/>
    <mergeCell ref="B50:B54"/>
    <mergeCell ref="B55:B59"/>
    <mergeCell ref="N23:N25"/>
    <mergeCell ref="O23:O25"/>
    <mergeCell ref="C26:C28"/>
    <mergeCell ref="D26:D28"/>
    <mergeCell ref="E26:E28"/>
    <mergeCell ref="F26:F28"/>
    <mergeCell ref="G26:I28"/>
    <mergeCell ref="J26:J28"/>
    <mergeCell ref="K26:K28"/>
    <mergeCell ref="N26:N28"/>
    <mergeCell ref="A9:B28"/>
    <mergeCell ref="O20:O22"/>
    <mergeCell ref="C23:C25"/>
    <mergeCell ref="D23:D25"/>
    <mergeCell ref="E23:E25"/>
    <mergeCell ref="F23:F25"/>
    <mergeCell ref="G23:I25"/>
    <mergeCell ref="A90:A104"/>
    <mergeCell ref="B90:B94"/>
    <mergeCell ref="B95:B99"/>
    <mergeCell ref="B100:B104"/>
    <mergeCell ref="A105:A119"/>
    <mergeCell ref="B105:B109"/>
    <mergeCell ref="B110:B114"/>
    <mergeCell ref="B115:B119"/>
    <mergeCell ref="A60:A74"/>
    <mergeCell ref="B60:B64"/>
    <mergeCell ref="B65:B69"/>
    <mergeCell ref="B70:B74"/>
    <mergeCell ref="A75:A89"/>
    <mergeCell ref="B75:B79"/>
    <mergeCell ref="B80:B84"/>
    <mergeCell ref="B85:B89"/>
    <mergeCell ref="A130:F130"/>
    <mergeCell ref="G132:G133"/>
    <mergeCell ref="H132:H133"/>
    <mergeCell ref="I132:I133"/>
    <mergeCell ref="A122:O122"/>
    <mergeCell ref="A125:F125"/>
    <mergeCell ref="A126:F126"/>
    <mergeCell ref="A127:F127"/>
    <mergeCell ref="A128:F128"/>
    <mergeCell ref="A129:F129"/>
    <mergeCell ref="J132:L132"/>
    <mergeCell ref="M132:O132"/>
    <mergeCell ref="A165:O165"/>
    <mergeCell ref="A167:F167"/>
    <mergeCell ref="A168:F168"/>
    <mergeCell ref="A169:F169"/>
    <mergeCell ref="A170:F170"/>
    <mergeCell ref="A171:F171"/>
    <mergeCell ref="G134:G163"/>
    <mergeCell ref="H134:H138"/>
    <mergeCell ref="H139:H143"/>
    <mergeCell ref="H144:H148"/>
    <mergeCell ref="H149:H153"/>
    <mergeCell ref="H154:H158"/>
    <mergeCell ref="H159:H163"/>
    <mergeCell ref="A172:F172"/>
    <mergeCell ref="A173:F173"/>
    <mergeCell ref="A174:F174"/>
    <mergeCell ref="A176:L176"/>
    <mergeCell ref="A177:A178"/>
    <mergeCell ref="A179:A181"/>
    <mergeCell ref="B180:B181"/>
    <mergeCell ref="C180:C181"/>
    <mergeCell ref="D180:D181"/>
    <mergeCell ref="E180:E181"/>
    <mergeCell ref="F180:F181"/>
    <mergeCell ref="A201:C201"/>
    <mergeCell ref="A202:C202"/>
    <mergeCell ref="A182:A184"/>
    <mergeCell ref="A185:A187"/>
    <mergeCell ref="A188:A190"/>
    <mergeCell ref="B189:B190"/>
    <mergeCell ref="C189:C190"/>
    <mergeCell ref="D189:D190"/>
    <mergeCell ref="E189:E190"/>
    <mergeCell ref="A198:F198"/>
    <mergeCell ref="A191:A193"/>
    <mergeCell ref="B192:B193"/>
    <mergeCell ref="C192:C193"/>
    <mergeCell ref="D192:D193"/>
    <mergeCell ref="E192:E193"/>
    <mergeCell ref="F192:F193"/>
    <mergeCell ref="A199:C199"/>
    <mergeCell ref="A200:C200"/>
    <mergeCell ref="F189:F190"/>
    <mergeCell ref="A194:F196"/>
    <mergeCell ref="A208:L208"/>
    <mergeCell ref="A209:A210"/>
    <mergeCell ref="A211:A213"/>
    <mergeCell ref="B212:B213"/>
    <mergeCell ref="C212:C213"/>
    <mergeCell ref="D212:D213"/>
    <mergeCell ref="E212:E213"/>
    <mergeCell ref="F212:F213"/>
    <mergeCell ref="A203:C203"/>
    <mergeCell ref="A204:C204"/>
    <mergeCell ref="A205:C205"/>
    <mergeCell ref="A214:A216"/>
    <mergeCell ref="A217:A219"/>
    <mergeCell ref="A220:A222"/>
    <mergeCell ref="B221:B222"/>
    <mergeCell ref="C221:C222"/>
    <mergeCell ref="D221:D222"/>
    <mergeCell ref="E221:E222"/>
    <mergeCell ref="F221:F222"/>
    <mergeCell ref="A226:F228"/>
    <mergeCell ref="A230:O230"/>
    <mergeCell ref="A231:B231"/>
    <mergeCell ref="A232:A236"/>
    <mergeCell ref="A237:A241"/>
    <mergeCell ref="A242:A246"/>
    <mergeCell ref="A223:A225"/>
    <mergeCell ref="B224:B225"/>
    <mergeCell ref="C224:C225"/>
    <mergeCell ref="D224:D225"/>
    <mergeCell ref="E224:E225"/>
    <mergeCell ref="F224:F225"/>
    <mergeCell ref="A274:O274"/>
    <mergeCell ref="A247:A251"/>
    <mergeCell ref="A253:O253"/>
    <mergeCell ref="A255:B255"/>
    <mergeCell ref="A256:A260"/>
    <mergeCell ref="A261:A265"/>
    <mergeCell ref="A266:A270"/>
    <mergeCell ref="G285:H286"/>
    <mergeCell ref="I285:K285"/>
    <mergeCell ref="L285:O286"/>
    <mergeCell ref="G293:G298"/>
    <mergeCell ref="L293:O293"/>
    <mergeCell ref="L294:O294"/>
    <mergeCell ref="L295:O295"/>
    <mergeCell ref="L296:O296"/>
    <mergeCell ref="L297:O297"/>
    <mergeCell ref="L298:O298"/>
    <mergeCell ref="G287:G292"/>
    <mergeCell ref="L287:O287"/>
    <mergeCell ref="L288:O288"/>
    <mergeCell ref="L289:O289"/>
    <mergeCell ref="L290:O290"/>
    <mergeCell ref="L291:O291"/>
    <mergeCell ref="L292:O292"/>
  </mergeCells>
  <hyperlinks>
    <hyperlink ref="A274:N274" location="'Hoja 6. AA'!A4" display="'Hoja 6. AA'!A4" xr:uid="{00000000-0004-0000-1D00-000000000000}"/>
    <hyperlink ref="A274:O274" location="'Hoja 11. TABLA DE CONTROL'!B41" display="'Hoja 11. TABLA DE CONTROL'!B41" xr:uid="{00000000-0004-0000-1D00-000001000000}"/>
    <hyperlink ref="A165:O165" location="'Hoja 6. AA'!A1" display="'Hoja 6. AA'!A1" xr:uid="{00000000-0004-0000-1D00-000002000000}"/>
    <hyperlink ref="D9:D10" location="'Hoja 6. AA'!D38" display="Tiempo promedio de trámite para la resolución de autorizaciones ambientales otorgadas por la corporación (Ver fila 38)" xr:uid="{00000000-0004-0000-1D00-000003000000}"/>
    <hyperlink ref="D11:D13" location="'Hoja 6. AA'!A113" display="Porcentaje (%) de trámites resueltos en un tiempo igual o inferior a lo reglamentado en el SGC (Ver fila 72 )" xr:uid="{00000000-0004-0000-1D00-000004000000}"/>
    <hyperlink ref="D14:D16" location="'Hoja 6. AA'!A156" display="Porcentaje de autorizaciones ambientales con seguimiento (Ver fila 125) en función de cantidad de autorizaciones" xr:uid="{00000000-0004-0000-1D00-000005000000}"/>
    <hyperlink ref="D17:D19" location="'Hoja 6. AA'!A195" display="Porcentaje de autorizaciones ambientales con seguimiento (Ver fila 148) en funcion del volumen autorizado" xr:uid="{00000000-0004-0000-1D00-000006000000}"/>
    <hyperlink ref="D14:D15" location="'Hoja 6. AA'!A156" display="Porcentaje de autorizaciones ambientales con seguimiento en función de cantidad de autorizaciones" xr:uid="{00000000-0004-0000-1D00-000007000000}"/>
    <hyperlink ref="D20:D22" location="'Hoja 6. AA'!A237" display="Porcentaje de Procesos Sancionatorios Resueltos (Ver fila 167 )" xr:uid="{00000000-0004-0000-1D00-000008000000}"/>
    <hyperlink ref="D23:D25" location="'Hoja 6. AA'!A237" display="IP: % de quejas y contravenciones ambientales atendidas. (Ver fila 190)" xr:uid="{00000000-0004-0000-1D00-000009000000}"/>
    <hyperlink ref="D26:D28" location="'Hoja 6. AA'!A258" display="Porcentaje (%) de encuesta de satisfacción calificadas por los usuarios de trámites ambientales resueltos con una nota superior o igual a  cuatro (4,0) sobre cinco (5.0). (ver fila 211)" xr:uid="{00000000-0004-0000-1D00-00000A000000}"/>
    <hyperlink ref="D29:D31" location="'Hoja 6. AA'!A258" display="Porcentaje (%) de encuesta de satisfacción calificadas por los usuarios de trámites ambientales resueltos con una nota superior o igual a  cuatro (4,0) sobre cinco (5.0). (ver fila 211)" xr:uid="{00000000-0004-0000-1D00-00000B000000}"/>
    <hyperlink ref="D32:D34" location="'Hoja 6. AA'!A258" display="Porcentaje (%) de encuesta de satisfacción calificadas por los usuarios de trámites ambientales resueltos con una nota superior o igual a  cuatro (4,0) sobre cinco (5.0). (ver fila 211)" xr:uid="{00000000-0004-0000-1D00-00000C000000}"/>
    <hyperlink ref="D35:D37" location="'Hoja 2. DI'!A142" display="ESTABLECER MECANISMOS VIRTUALES DE INTERACCIÓN CONSTANTE CON LA CIUDADANÍA, A TRAVÉS DE FOROS EN EL SITIO WEB DE CORPOURABA" xr:uid="{00000000-0004-0000-1D00-00000D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06
Hoja 6. Indicadores Proceso Aplicación de la Autoridad Ambiental
Página &amp;P de &amp;N</oddFooter>
  </headerFooter>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92D050"/>
  </sheetPr>
  <dimension ref="A1:U342"/>
  <sheetViews>
    <sheetView showGridLines="0" topLeftCell="A43" zoomScale="55" zoomScaleNormal="55" workbookViewId="0">
      <selection activeCell="M70" sqref="M70"/>
    </sheetView>
  </sheetViews>
  <sheetFormatPr baseColWidth="10" defaultColWidth="11.453125" defaultRowHeight="13.5" x14ac:dyDescent="0.25"/>
  <cols>
    <col min="1" max="2" width="24.08984375" style="2" customWidth="1"/>
    <col min="3" max="3" width="20.453125" style="2" customWidth="1"/>
    <col min="4" max="4" width="21.54296875" style="2" customWidth="1"/>
    <col min="5" max="5" width="22.36328125" style="2" customWidth="1"/>
    <col min="6" max="6" width="27" style="2" customWidth="1"/>
    <col min="7" max="7" width="28.6328125" style="2" customWidth="1"/>
    <col min="8" max="8" width="37.90625" style="2" customWidth="1"/>
    <col min="9" max="9" width="30.08984375" style="2" customWidth="1"/>
    <col min="10" max="10" width="23.90625" style="2" customWidth="1"/>
    <col min="11" max="11" width="26.6328125" style="2" customWidth="1"/>
    <col min="12" max="12" width="25.36328125" style="2" customWidth="1"/>
    <col min="13" max="13" width="69.90625" style="2" customWidth="1"/>
    <col min="14" max="14" width="24.08984375" style="2" customWidth="1"/>
    <col min="15" max="16" width="27.36328125" style="2" customWidth="1"/>
    <col min="17" max="17" width="31.08984375" style="2" customWidth="1"/>
    <col min="18" max="18" width="41.90625" style="2" customWidth="1"/>
    <col min="19" max="19" width="77.90625" style="2" customWidth="1"/>
    <col min="20" max="20" width="20.453125" style="2" customWidth="1"/>
    <col min="21" max="21" width="49.453125" style="2" customWidth="1"/>
    <col min="22" max="16384" width="11.453125" style="2"/>
  </cols>
  <sheetData>
    <row r="1" spans="1:16" ht="30.5" x14ac:dyDescent="0.25">
      <c r="A1" s="744"/>
      <c r="B1" s="744"/>
      <c r="C1" s="744"/>
      <c r="D1" s="744"/>
      <c r="E1" s="9"/>
      <c r="F1" s="9"/>
      <c r="G1" s="9"/>
      <c r="H1" s="9"/>
      <c r="I1" s="9"/>
      <c r="J1" s="9"/>
      <c r="K1" s="9"/>
      <c r="L1" s="9"/>
      <c r="M1" s="9"/>
      <c r="N1" s="9"/>
      <c r="O1" s="9"/>
      <c r="P1" s="9"/>
    </row>
    <row r="2" spans="1:16" ht="17.5" x14ac:dyDescent="0.25">
      <c r="A2" s="830" t="s">
        <v>20</v>
      </c>
      <c r="B2" s="831"/>
      <c r="C2" s="831"/>
      <c r="D2" s="831"/>
      <c r="E2" s="831"/>
      <c r="F2" s="831"/>
      <c r="G2" s="831"/>
      <c r="H2" s="831"/>
      <c r="I2" s="831"/>
      <c r="J2" s="831"/>
      <c r="K2" s="831"/>
      <c r="L2" s="831"/>
      <c r="M2" s="831"/>
      <c r="N2" s="831"/>
      <c r="O2" s="832"/>
      <c r="P2" s="63"/>
    </row>
    <row r="4" spans="1:16" s="4" customFormat="1" ht="15" x14ac:dyDescent="0.35">
      <c r="A4" s="833" t="s">
        <v>0</v>
      </c>
      <c r="B4" s="833"/>
      <c r="C4" s="833" t="s">
        <v>26</v>
      </c>
      <c r="D4" s="833" t="s">
        <v>1</v>
      </c>
      <c r="E4" s="833" t="s">
        <v>2</v>
      </c>
      <c r="F4" s="833" t="s">
        <v>3</v>
      </c>
      <c r="G4" s="833" t="s">
        <v>33</v>
      </c>
      <c r="H4" s="833"/>
      <c r="I4" s="833"/>
      <c r="J4" s="834" t="s">
        <v>4</v>
      </c>
      <c r="K4" s="834" t="s">
        <v>5</v>
      </c>
      <c r="L4" s="836" t="s">
        <v>49</v>
      </c>
      <c r="M4" s="837"/>
      <c r="N4" s="834" t="s">
        <v>6</v>
      </c>
      <c r="O4" s="834" t="s">
        <v>7</v>
      </c>
      <c r="P4" s="64"/>
    </row>
    <row r="5" spans="1:16" s="4" customFormat="1" ht="30" x14ac:dyDescent="0.35">
      <c r="A5" s="833"/>
      <c r="B5" s="833"/>
      <c r="C5" s="833"/>
      <c r="D5" s="833"/>
      <c r="E5" s="833"/>
      <c r="F5" s="833"/>
      <c r="G5" s="20" t="s">
        <v>31</v>
      </c>
      <c r="H5" s="20" t="s">
        <v>32</v>
      </c>
      <c r="I5" s="20" t="s">
        <v>43</v>
      </c>
      <c r="J5" s="835"/>
      <c r="K5" s="835"/>
      <c r="L5" s="20" t="s">
        <v>47</v>
      </c>
      <c r="M5" s="20" t="s">
        <v>48</v>
      </c>
      <c r="N5" s="835"/>
      <c r="O5" s="835"/>
      <c r="P5" s="64"/>
    </row>
    <row r="6" spans="1:16" s="4" customFormat="1" ht="40.5" x14ac:dyDescent="0.35">
      <c r="A6" s="833"/>
      <c r="B6" s="833"/>
      <c r="C6" s="833"/>
      <c r="D6" s="833"/>
      <c r="E6" s="833"/>
      <c r="F6" s="833"/>
      <c r="G6" s="12" t="s">
        <v>35</v>
      </c>
      <c r="H6" s="13" t="s">
        <v>37</v>
      </c>
      <c r="I6" s="12" t="s">
        <v>40</v>
      </c>
      <c r="J6" s="835"/>
      <c r="K6" s="835"/>
      <c r="L6" s="11" t="s">
        <v>44</v>
      </c>
      <c r="M6" s="13" t="s">
        <v>52</v>
      </c>
      <c r="N6" s="835"/>
      <c r="O6" s="835"/>
      <c r="P6" s="64"/>
    </row>
    <row r="7" spans="1:16" s="4" customFormat="1" ht="40.5" x14ac:dyDescent="0.35">
      <c r="A7" s="833"/>
      <c r="B7" s="833"/>
      <c r="C7" s="833"/>
      <c r="D7" s="833"/>
      <c r="E7" s="833"/>
      <c r="F7" s="833"/>
      <c r="G7" s="12" t="s">
        <v>34</v>
      </c>
      <c r="H7" s="13" t="s">
        <v>38</v>
      </c>
      <c r="I7" s="12" t="s">
        <v>41</v>
      </c>
      <c r="J7" s="835"/>
      <c r="K7" s="835"/>
      <c r="L7" s="10" t="s">
        <v>45</v>
      </c>
      <c r="M7" s="13" t="s">
        <v>50</v>
      </c>
      <c r="N7" s="835"/>
      <c r="O7" s="835"/>
      <c r="P7" s="64"/>
    </row>
    <row r="8" spans="1:16" s="4" customFormat="1" ht="40.5" x14ac:dyDescent="0.35">
      <c r="A8" s="834"/>
      <c r="B8" s="834"/>
      <c r="C8" s="834"/>
      <c r="D8" s="834"/>
      <c r="E8" s="834"/>
      <c r="F8" s="834"/>
      <c r="G8" s="47" t="s">
        <v>36</v>
      </c>
      <c r="H8" s="48" t="s">
        <v>39</v>
      </c>
      <c r="I8" s="47" t="s">
        <v>42</v>
      </c>
      <c r="J8" s="835"/>
      <c r="K8" s="835"/>
      <c r="L8" s="42" t="s">
        <v>46</v>
      </c>
      <c r="M8" s="48" t="s">
        <v>51</v>
      </c>
      <c r="N8" s="835"/>
      <c r="O8" s="835"/>
      <c r="P8" s="64"/>
    </row>
    <row r="9" spans="1:16" ht="51" customHeight="1" x14ac:dyDescent="0.25">
      <c r="A9" s="1045" t="s">
        <v>143</v>
      </c>
      <c r="B9" s="1045"/>
      <c r="C9" s="829" t="s">
        <v>67</v>
      </c>
      <c r="D9" s="1042" t="s">
        <v>144</v>
      </c>
      <c r="E9" s="839" t="s">
        <v>145</v>
      </c>
      <c r="F9" s="1053" t="s">
        <v>146</v>
      </c>
      <c r="G9" s="829" t="s">
        <v>34</v>
      </c>
      <c r="H9" s="829"/>
      <c r="I9" s="829"/>
      <c r="J9" s="1052" t="s">
        <v>63</v>
      </c>
      <c r="K9" s="1054" t="s">
        <v>147</v>
      </c>
      <c r="L9" s="65" t="s">
        <v>44</v>
      </c>
      <c r="M9" s="51" t="s">
        <v>148</v>
      </c>
      <c r="N9" s="829" t="s">
        <v>149</v>
      </c>
      <c r="O9" s="829" t="s">
        <v>59</v>
      </c>
      <c r="P9" s="66"/>
    </row>
    <row r="10" spans="1:16" ht="51" customHeight="1" x14ac:dyDescent="0.25">
      <c r="A10" s="1045"/>
      <c r="B10" s="1045"/>
      <c r="C10" s="829"/>
      <c r="D10" s="1043"/>
      <c r="E10" s="839"/>
      <c r="F10" s="1053"/>
      <c r="G10" s="829"/>
      <c r="H10" s="829"/>
      <c r="I10" s="829"/>
      <c r="J10" s="1052"/>
      <c r="K10" s="1054"/>
      <c r="L10" s="65" t="s">
        <v>45</v>
      </c>
      <c r="M10" s="24" t="s">
        <v>150</v>
      </c>
      <c r="N10" s="829"/>
      <c r="O10" s="829"/>
      <c r="P10" s="66"/>
    </row>
    <row r="11" spans="1:16" ht="51" customHeight="1" x14ac:dyDescent="0.25">
      <c r="A11" s="1045"/>
      <c r="B11" s="1045"/>
      <c r="C11" s="829"/>
      <c r="D11" s="1044"/>
      <c r="E11" s="839"/>
      <c r="F11" s="1053"/>
      <c r="G11" s="829"/>
      <c r="H11" s="829"/>
      <c r="I11" s="829"/>
      <c r="J11" s="1052"/>
      <c r="K11" s="1055"/>
      <c r="L11" s="65" t="s">
        <v>46</v>
      </c>
      <c r="M11" s="25" t="s">
        <v>151</v>
      </c>
      <c r="N11" s="829"/>
      <c r="O11" s="829"/>
      <c r="P11" s="66"/>
    </row>
    <row r="12" spans="1:16" ht="51" customHeight="1" x14ac:dyDescent="0.25">
      <c r="A12" s="1045"/>
      <c r="B12" s="1045"/>
      <c r="C12" s="829" t="s">
        <v>67</v>
      </c>
      <c r="D12" s="1042" t="s">
        <v>152</v>
      </c>
      <c r="E12" s="839" t="s">
        <v>153</v>
      </c>
      <c r="F12" s="1053" t="s">
        <v>154</v>
      </c>
      <c r="G12" s="829" t="s">
        <v>34</v>
      </c>
      <c r="H12" s="829"/>
      <c r="I12" s="829"/>
      <c r="J12" s="1052" t="s">
        <v>63</v>
      </c>
      <c r="K12" s="1054" t="s">
        <v>147</v>
      </c>
      <c r="L12" s="67" t="s">
        <v>44</v>
      </c>
      <c r="M12" s="51" t="s">
        <v>148</v>
      </c>
      <c r="N12" s="829" t="s">
        <v>149</v>
      </c>
      <c r="O12" s="829" t="s">
        <v>59</v>
      </c>
      <c r="P12" s="66"/>
    </row>
    <row r="13" spans="1:16" ht="51" customHeight="1" x14ac:dyDescent="0.25">
      <c r="A13" s="1045"/>
      <c r="B13" s="1045"/>
      <c r="C13" s="829"/>
      <c r="D13" s="1043"/>
      <c r="E13" s="839"/>
      <c r="F13" s="1053"/>
      <c r="G13" s="829"/>
      <c r="H13" s="829"/>
      <c r="I13" s="829"/>
      <c r="J13" s="1052"/>
      <c r="K13" s="1054"/>
      <c r="L13" s="65" t="s">
        <v>45</v>
      </c>
      <c r="M13" s="24" t="s">
        <v>150</v>
      </c>
      <c r="N13" s="829"/>
      <c r="O13" s="829"/>
      <c r="P13" s="66"/>
    </row>
    <row r="14" spans="1:16" ht="51" customHeight="1" x14ac:dyDescent="0.25">
      <c r="A14" s="1045"/>
      <c r="B14" s="1045"/>
      <c r="C14" s="829"/>
      <c r="D14" s="1044"/>
      <c r="E14" s="839"/>
      <c r="F14" s="1053"/>
      <c r="G14" s="829"/>
      <c r="H14" s="829"/>
      <c r="I14" s="829"/>
      <c r="J14" s="1052"/>
      <c r="K14" s="1055"/>
      <c r="L14" s="68" t="s">
        <v>46</v>
      </c>
      <c r="M14" s="25" t="s">
        <v>151</v>
      </c>
      <c r="N14" s="829"/>
      <c r="O14" s="829"/>
      <c r="P14" s="66"/>
    </row>
    <row r="15" spans="1:16" ht="51" customHeight="1" x14ac:dyDescent="0.25">
      <c r="A15" s="1045"/>
      <c r="B15" s="1045"/>
      <c r="C15" s="829" t="s">
        <v>67</v>
      </c>
      <c r="D15" s="1042" t="s">
        <v>155</v>
      </c>
      <c r="E15" s="839" t="s">
        <v>156</v>
      </c>
      <c r="F15" s="1053" t="s">
        <v>157</v>
      </c>
      <c r="G15" s="829" t="s">
        <v>36</v>
      </c>
      <c r="H15" s="829"/>
      <c r="I15" s="829"/>
      <c r="J15" s="1052" t="s">
        <v>55</v>
      </c>
      <c r="K15" s="1056">
        <v>1</v>
      </c>
      <c r="L15" s="49" t="s">
        <v>44</v>
      </c>
      <c r="M15" s="51">
        <v>1</v>
      </c>
      <c r="N15" s="829" t="s">
        <v>149</v>
      </c>
      <c r="O15" s="829" t="s">
        <v>59</v>
      </c>
      <c r="P15" s="66"/>
    </row>
    <row r="16" spans="1:16" ht="51" customHeight="1" x14ac:dyDescent="0.25">
      <c r="A16" s="1045"/>
      <c r="B16" s="1045"/>
      <c r="C16" s="829"/>
      <c r="D16" s="1043"/>
      <c r="E16" s="839"/>
      <c r="F16" s="1053"/>
      <c r="G16" s="829"/>
      <c r="H16" s="829"/>
      <c r="I16" s="829"/>
      <c r="J16" s="1052"/>
      <c r="K16" s="1057"/>
      <c r="L16" s="49" t="s">
        <v>45</v>
      </c>
      <c r="M16" s="24" t="s">
        <v>107</v>
      </c>
      <c r="N16" s="829"/>
      <c r="O16" s="829"/>
      <c r="P16" s="66"/>
    </row>
    <row r="17" spans="1:16" ht="51" customHeight="1" x14ac:dyDescent="0.25">
      <c r="A17" s="1045"/>
      <c r="B17" s="1045"/>
      <c r="C17" s="829"/>
      <c r="D17" s="1044"/>
      <c r="E17" s="839"/>
      <c r="F17" s="1053"/>
      <c r="G17" s="829"/>
      <c r="H17" s="829"/>
      <c r="I17" s="829"/>
      <c r="J17" s="1052"/>
      <c r="K17" s="1058"/>
      <c r="L17" s="69" t="s">
        <v>46</v>
      </c>
      <c r="M17" s="25" t="s">
        <v>104</v>
      </c>
      <c r="N17" s="829"/>
      <c r="O17" s="829"/>
      <c r="P17" s="66"/>
    </row>
    <row r="18" spans="1:16" ht="120" customHeight="1" x14ac:dyDescent="0.25">
      <c r="A18" s="1045"/>
      <c r="B18" s="1045"/>
      <c r="C18" s="829" t="s">
        <v>110</v>
      </c>
      <c r="D18" s="1042" t="s">
        <v>158</v>
      </c>
      <c r="E18" s="839" t="s">
        <v>159</v>
      </c>
      <c r="F18" s="1053" t="s">
        <v>160</v>
      </c>
      <c r="G18" s="829" t="s">
        <v>34</v>
      </c>
      <c r="H18" s="829"/>
      <c r="I18" s="829"/>
      <c r="J18" s="1052" t="s">
        <v>55</v>
      </c>
      <c r="K18" s="841" t="s">
        <v>73</v>
      </c>
      <c r="L18" s="22" t="s">
        <v>44</v>
      </c>
      <c r="M18" s="23" t="s">
        <v>73</v>
      </c>
      <c r="N18" s="829" t="s">
        <v>149</v>
      </c>
      <c r="O18" s="829" t="s">
        <v>59</v>
      </c>
      <c r="P18" s="66"/>
    </row>
    <row r="19" spans="1:16" ht="120" customHeight="1" x14ac:dyDescent="0.25">
      <c r="A19" s="1045"/>
      <c r="B19" s="1045"/>
      <c r="C19" s="829"/>
      <c r="D19" s="1043"/>
      <c r="E19" s="839"/>
      <c r="F19" s="1053"/>
      <c r="G19" s="829"/>
      <c r="H19" s="829"/>
      <c r="I19" s="829"/>
      <c r="J19" s="1052"/>
      <c r="K19" s="842"/>
      <c r="L19" s="22" t="s">
        <v>45</v>
      </c>
      <c r="M19" s="24" t="s">
        <v>161</v>
      </c>
      <c r="N19" s="829"/>
      <c r="O19" s="829"/>
      <c r="P19" s="66"/>
    </row>
    <row r="20" spans="1:16" ht="120" customHeight="1" x14ac:dyDescent="0.25">
      <c r="A20" s="1045"/>
      <c r="B20" s="1045"/>
      <c r="C20" s="829"/>
      <c r="D20" s="1044"/>
      <c r="E20" s="839"/>
      <c r="F20" s="1053"/>
      <c r="G20" s="829"/>
      <c r="H20" s="829"/>
      <c r="I20" s="829"/>
      <c r="J20" s="1052"/>
      <c r="K20" s="843"/>
      <c r="L20" s="70" t="s">
        <v>46</v>
      </c>
      <c r="M20" s="25" t="s">
        <v>162</v>
      </c>
      <c r="N20" s="829"/>
      <c r="O20" s="829"/>
      <c r="P20" s="66"/>
    </row>
    <row r="21" spans="1:16" ht="51" customHeight="1" x14ac:dyDescent="0.25">
      <c r="A21" s="1045"/>
      <c r="B21" s="1045"/>
      <c r="C21" s="829" t="s">
        <v>110</v>
      </c>
      <c r="D21" s="1042" t="s">
        <v>163</v>
      </c>
      <c r="E21" s="839" t="s">
        <v>164</v>
      </c>
      <c r="F21" s="1053" t="s">
        <v>165</v>
      </c>
      <c r="G21" s="829" t="s">
        <v>34</v>
      </c>
      <c r="H21" s="829"/>
      <c r="I21" s="829"/>
      <c r="J21" s="1052" t="s">
        <v>55</v>
      </c>
      <c r="K21" s="841" t="s">
        <v>57</v>
      </c>
      <c r="L21" s="49" t="s">
        <v>44</v>
      </c>
      <c r="M21" s="71" t="s">
        <v>57</v>
      </c>
      <c r="N21" s="829" t="s">
        <v>149</v>
      </c>
      <c r="O21" s="829" t="s">
        <v>59</v>
      </c>
      <c r="P21" s="66"/>
    </row>
    <row r="22" spans="1:16" ht="51" customHeight="1" x14ac:dyDescent="0.25">
      <c r="A22" s="1045"/>
      <c r="B22" s="1045"/>
      <c r="C22" s="829"/>
      <c r="D22" s="1043"/>
      <c r="E22" s="839"/>
      <c r="F22" s="1053"/>
      <c r="G22" s="829"/>
      <c r="H22" s="829"/>
      <c r="I22" s="829"/>
      <c r="J22" s="1052"/>
      <c r="K22" s="842"/>
      <c r="L22" s="49" t="s">
        <v>45</v>
      </c>
      <c r="M22" s="24" t="s">
        <v>60</v>
      </c>
      <c r="N22" s="829"/>
      <c r="O22" s="829"/>
      <c r="P22" s="66"/>
    </row>
    <row r="23" spans="1:16" ht="51" customHeight="1" x14ac:dyDescent="0.25">
      <c r="A23" s="1045"/>
      <c r="B23" s="1045"/>
      <c r="C23" s="829"/>
      <c r="D23" s="1044"/>
      <c r="E23" s="839"/>
      <c r="F23" s="1053"/>
      <c r="G23" s="829"/>
      <c r="H23" s="829"/>
      <c r="I23" s="829"/>
      <c r="J23" s="1052"/>
      <c r="K23" s="843"/>
      <c r="L23" s="69" t="s">
        <v>46</v>
      </c>
      <c r="M23" s="25" t="s">
        <v>61</v>
      </c>
      <c r="N23" s="829"/>
      <c r="O23" s="829"/>
      <c r="P23" s="66"/>
    </row>
    <row r="24" spans="1:16" ht="74.25" customHeight="1" x14ac:dyDescent="0.25">
      <c r="A24" s="1045"/>
      <c r="B24" s="1045"/>
      <c r="C24" s="829" t="s">
        <v>53</v>
      </c>
      <c r="D24" s="1042" t="s">
        <v>801</v>
      </c>
      <c r="E24" s="839" t="s">
        <v>802</v>
      </c>
      <c r="F24" s="1053" t="s">
        <v>803</v>
      </c>
      <c r="G24" s="829" t="s">
        <v>34</v>
      </c>
      <c r="H24" s="829"/>
      <c r="I24" s="829"/>
      <c r="J24" s="1052" t="s">
        <v>55</v>
      </c>
      <c r="K24" s="841" t="s">
        <v>57</v>
      </c>
      <c r="L24" s="49" t="s">
        <v>44</v>
      </c>
      <c r="M24" s="23" t="s">
        <v>57</v>
      </c>
      <c r="N24" s="829" t="s">
        <v>149</v>
      </c>
      <c r="O24" s="829" t="s">
        <v>59</v>
      </c>
      <c r="P24" s="66"/>
    </row>
    <row r="25" spans="1:16" ht="74.25" customHeight="1" x14ac:dyDescent="0.25">
      <c r="A25" s="1045"/>
      <c r="B25" s="1045"/>
      <c r="C25" s="829"/>
      <c r="D25" s="1043"/>
      <c r="E25" s="839"/>
      <c r="F25" s="1053"/>
      <c r="G25" s="829"/>
      <c r="H25" s="829"/>
      <c r="I25" s="829"/>
      <c r="J25" s="1052"/>
      <c r="K25" s="842"/>
      <c r="L25" s="49" t="s">
        <v>45</v>
      </c>
      <c r="M25" s="24" t="s">
        <v>117</v>
      </c>
      <c r="N25" s="829"/>
      <c r="O25" s="829"/>
      <c r="P25" s="66"/>
    </row>
    <row r="26" spans="1:16" ht="74.25" customHeight="1" x14ac:dyDescent="0.25">
      <c r="A26" s="1045"/>
      <c r="B26" s="1045"/>
      <c r="C26" s="829"/>
      <c r="D26" s="1044"/>
      <c r="E26" s="839"/>
      <c r="F26" s="1053"/>
      <c r="G26" s="829"/>
      <c r="H26" s="829"/>
      <c r="I26" s="829"/>
      <c r="J26" s="1052"/>
      <c r="K26" s="843"/>
      <c r="L26" s="69" t="s">
        <v>46</v>
      </c>
      <c r="M26" s="25" t="s">
        <v>104</v>
      </c>
      <c r="N26" s="829"/>
      <c r="O26" s="829"/>
      <c r="P26" s="66"/>
    </row>
    <row r="27" spans="1:16" ht="51" customHeight="1" x14ac:dyDescent="0.25">
      <c r="A27" s="1045"/>
      <c r="B27" s="1045"/>
      <c r="C27" s="829" t="s">
        <v>67</v>
      </c>
      <c r="D27" s="1042" t="s">
        <v>118</v>
      </c>
      <c r="E27" s="839" t="s">
        <v>119</v>
      </c>
      <c r="F27" s="1053" t="s">
        <v>120</v>
      </c>
      <c r="G27" s="829" t="s">
        <v>34</v>
      </c>
      <c r="H27" s="829"/>
      <c r="I27" s="829"/>
      <c r="J27" s="1052" t="s">
        <v>55</v>
      </c>
      <c r="K27" s="848" t="s">
        <v>65</v>
      </c>
      <c r="L27" s="22" t="s">
        <v>44</v>
      </c>
      <c r="M27" s="71" t="s">
        <v>65</v>
      </c>
      <c r="N27" s="829" t="s">
        <v>149</v>
      </c>
      <c r="O27" s="829" t="s">
        <v>59</v>
      </c>
      <c r="P27" s="66"/>
    </row>
    <row r="28" spans="1:16" ht="51" customHeight="1" x14ac:dyDescent="0.25">
      <c r="A28" s="1045"/>
      <c r="B28" s="1045"/>
      <c r="C28" s="829"/>
      <c r="D28" s="1043"/>
      <c r="E28" s="839"/>
      <c r="F28" s="1053"/>
      <c r="G28" s="829"/>
      <c r="H28" s="829"/>
      <c r="I28" s="829"/>
      <c r="J28" s="1052"/>
      <c r="K28" s="849"/>
      <c r="L28" s="22" t="s">
        <v>45</v>
      </c>
      <c r="M28" s="24" t="s">
        <v>66</v>
      </c>
      <c r="N28" s="829"/>
      <c r="O28" s="829"/>
      <c r="P28" s="66"/>
    </row>
    <row r="29" spans="1:16" ht="51" customHeight="1" x14ac:dyDescent="0.25">
      <c r="A29" s="1045"/>
      <c r="B29" s="1045"/>
      <c r="C29" s="829"/>
      <c r="D29" s="1044"/>
      <c r="E29" s="839"/>
      <c r="F29" s="1053"/>
      <c r="G29" s="829"/>
      <c r="H29" s="829"/>
      <c r="I29" s="829"/>
      <c r="J29" s="1052"/>
      <c r="K29" s="850"/>
      <c r="L29" s="70" t="s">
        <v>46</v>
      </c>
      <c r="M29" s="25" t="s">
        <v>61</v>
      </c>
      <c r="N29" s="829"/>
      <c r="O29" s="829"/>
      <c r="P29" s="66"/>
    </row>
    <row r="30" spans="1:16" ht="56.25" customHeight="1" x14ac:dyDescent="0.25">
      <c r="A30" s="1045"/>
      <c r="B30" s="1045"/>
      <c r="C30" s="829" t="s">
        <v>67</v>
      </c>
      <c r="D30" s="1046" t="s">
        <v>167</v>
      </c>
      <c r="E30" s="839" t="s">
        <v>168</v>
      </c>
      <c r="F30" s="1049" t="s">
        <v>169</v>
      </c>
      <c r="G30" s="829" t="s">
        <v>34</v>
      </c>
      <c r="H30" s="829"/>
      <c r="I30" s="829"/>
      <c r="J30" s="1049" t="s">
        <v>63</v>
      </c>
      <c r="K30" s="848" t="s">
        <v>170</v>
      </c>
      <c r="L30" s="22" t="s">
        <v>44</v>
      </c>
      <c r="M30" s="71" t="s">
        <v>171</v>
      </c>
      <c r="N30" s="829" t="s">
        <v>149</v>
      </c>
      <c r="O30" s="829" t="s">
        <v>172</v>
      </c>
      <c r="P30" s="66"/>
    </row>
    <row r="31" spans="1:16" ht="56.25" customHeight="1" x14ac:dyDescent="0.25">
      <c r="A31" s="1045"/>
      <c r="B31" s="1045"/>
      <c r="C31" s="829"/>
      <c r="D31" s="1047"/>
      <c r="E31" s="839"/>
      <c r="F31" s="1050"/>
      <c r="G31" s="829"/>
      <c r="H31" s="829"/>
      <c r="I31" s="829"/>
      <c r="J31" s="1050"/>
      <c r="K31" s="849"/>
      <c r="L31" s="22" t="s">
        <v>45</v>
      </c>
      <c r="M31" s="24" t="s">
        <v>173</v>
      </c>
      <c r="N31" s="829"/>
      <c r="O31" s="829"/>
      <c r="P31" s="66"/>
    </row>
    <row r="32" spans="1:16" ht="56.25" customHeight="1" x14ac:dyDescent="0.25">
      <c r="A32" s="1045"/>
      <c r="B32" s="1045"/>
      <c r="C32" s="829"/>
      <c r="D32" s="1048"/>
      <c r="E32" s="839"/>
      <c r="F32" s="1051"/>
      <c r="G32" s="829"/>
      <c r="H32" s="829"/>
      <c r="I32" s="829"/>
      <c r="J32" s="1051"/>
      <c r="K32" s="850"/>
      <c r="L32" s="70" t="s">
        <v>46</v>
      </c>
      <c r="M32" s="25" t="s">
        <v>174</v>
      </c>
      <c r="N32" s="829"/>
      <c r="O32" s="829"/>
      <c r="P32" s="66"/>
    </row>
    <row r="33" spans="1:21" ht="64.5" customHeight="1" x14ac:dyDescent="0.25">
      <c r="A33" s="1045"/>
      <c r="B33" s="1045"/>
      <c r="C33" s="829" t="s">
        <v>67</v>
      </c>
      <c r="D33" s="1046" t="s">
        <v>175</v>
      </c>
      <c r="E33" s="839" t="s">
        <v>176</v>
      </c>
      <c r="F33" s="1049" t="s">
        <v>177</v>
      </c>
      <c r="G33" s="829" t="s">
        <v>34</v>
      </c>
      <c r="H33" s="829"/>
      <c r="I33" s="829"/>
      <c r="J33" s="1049" t="s">
        <v>63</v>
      </c>
      <c r="K33" s="848" t="s">
        <v>178</v>
      </c>
      <c r="L33" s="22" t="s">
        <v>44</v>
      </c>
      <c r="M33" s="72" t="s">
        <v>179</v>
      </c>
      <c r="N33" s="1064" t="s">
        <v>149</v>
      </c>
      <c r="O33" s="1065" t="s">
        <v>59</v>
      </c>
      <c r="P33" s="66"/>
    </row>
    <row r="34" spans="1:21" ht="64.5" customHeight="1" x14ac:dyDescent="0.25">
      <c r="A34" s="1045"/>
      <c r="B34" s="1045"/>
      <c r="C34" s="829"/>
      <c r="D34" s="1047"/>
      <c r="E34" s="839"/>
      <c r="F34" s="1050"/>
      <c r="G34" s="829"/>
      <c r="H34" s="829"/>
      <c r="I34" s="829"/>
      <c r="J34" s="1050"/>
      <c r="K34" s="849"/>
      <c r="L34" s="22" t="s">
        <v>45</v>
      </c>
      <c r="M34" s="73" t="s">
        <v>180</v>
      </c>
      <c r="N34" s="1064"/>
      <c r="O34" s="1065"/>
      <c r="P34" s="66"/>
    </row>
    <row r="35" spans="1:21" ht="64.5" customHeight="1" x14ac:dyDescent="0.25">
      <c r="A35" s="1045"/>
      <c r="B35" s="1045"/>
      <c r="C35" s="829"/>
      <c r="D35" s="1048"/>
      <c r="E35" s="839"/>
      <c r="F35" s="1051"/>
      <c r="G35" s="829"/>
      <c r="H35" s="829"/>
      <c r="I35" s="829"/>
      <c r="J35" s="1051"/>
      <c r="K35" s="850"/>
      <c r="L35" s="22" t="s">
        <v>46</v>
      </c>
      <c r="M35" s="74" t="s">
        <v>181</v>
      </c>
      <c r="N35" s="1064"/>
      <c r="O35" s="1065"/>
      <c r="P35" s="66"/>
    </row>
    <row r="36" spans="1:21" x14ac:dyDescent="0.25">
      <c r="A36" s="3"/>
      <c r="B36" s="3"/>
    </row>
    <row r="38" spans="1:21" ht="33" customHeight="1" x14ac:dyDescent="0.25">
      <c r="A38" s="853" t="str">
        <f>+D9</f>
        <v>PORCENTAJE DE REDUCCIÓN CARGA CONTAMINANTE PARÁMETROS DBO5</v>
      </c>
      <c r="B38" s="854"/>
      <c r="C38" s="854"/>
      <c r="D38" s="854"/>
      <c r="E38" s="854"/>
      <c r="F38" s="854"/>
      <c r="G38" s="854"/>
      <c r="H38" s="854"/>
      <c r="I38" s="854"/>
      <c r="J38" s="854"/>
      <c r="K38" s="854"/>
      <c r="L38" s="854"/>
      <c r="M38" s="854"/>
      <c r="N38" s="854"/>
      <c r="O38" s="854"/>
      <c r="P38" s="854"/>
      <c r="Q38" s="854"/>
      <c r="R38" s="854"/>
      <c r="S38" s="855"/>
    </row>
    <row r="39" spans="1:21" x14ac:dyDescent="0.25">
      <c r="A39" s="5"/>
    </row>
    <row r="40" spans="1:21" ht="39" customHeight="1" x14ac:dyDescent="0.25">
      <c r="A40" s="26"/>
      <c r="G40" s="39">
        <v>2008</v>
      </c>
      <c r="H40" s="39">
        <v>2009</v>
      </c>
      <c r="I40" s="39">
        <v>2010</v>
      </c>
      <c r="J40" s="39">
        <v>2011</v>
      </c>
      <c r="K40" s="39">
        <v>2012</v>
      </c>
      <c r="L40" s="39">
        <v>2013</v>
      </c>
      <c r="M40" s="39">
        <v>2014</v>
      </c>
      <c r="N40" s="39">
        <v>2015</v>
      </c>
    </row>
    <row r="41" spans="1:21" ht="39" customHeight="1" x14ac:dyDescent="0.25">
      <c r="A41" s="866" t="s">
        <v>182</v>
      </c>
      <c r="B41" s="867"/>
      <c r="C41" s="867"/>
      <c r="D41" s="867"/>
      <c r="E41" s="867"/>
      <c r="F41" s="867"/>
      <c r="G41" s="152">
        <f>($I$64-J64)/$I$64</f>
        <v>1.5479164237925669E-2</v>
      </c>
      <c r="H41" s="152">
        <f>($I$64-K64)/$I$64</f>
        <v>3.3144451840098586E-2</v>
      </c>
      <c r="I41" s="152">
        <f>($I$64-L64)/$I$64</f>
        <v>5.2482083212317482E-2</v>
      </c>
      <c r="J41" s="152">
        <f>($I$64-M64)/$I$64</f>
        <v>5.2754606513265571E-2</v>
      </c>
      <c r="K41" s="152">
        <f>($I$64-N64)/$I$64</f>
        <v>9.0988809888264022E-2</v>
      </c>
      <c r="L41" s="152">
        <f>($O$64-P64)/$O$64</f>
        <v>-3.1165039427562821E-2</v>
      </c>
      <c r="M41" s="27"/>
      <c r="N41" s="27" t="s">
        <v>755</v>
      </c>
    </row>
    <row r="42" spans="1:21" ht="39" customHeight="1" x14ac:dyDescent="0.25">
      <c r="A42" s="866" t="s">
        <v>76</v>
      </c>
      <c r="B42" s="867"/>
      <c r="C42" s="867"/>
      <c r="D42" s="867"/>
      <c r="E42" s="867"/>
      <c r="F42" s="867"/>
      <c r="G42" s="27">
        <v>0.01</v>
      </c>
      <c r="H42" s="27">
        <v>0.01</v>
      </c>
      <c r="I42" s="27">
        <v>0.01</v>
      </c>
      <c r="J42" s="27">
        <v>0.01</v>
      </c>
      <c r="K42" s="27">
        <v>0.01</v>
      </c>
      <c r="L42" s="27">
        <v>0.01</v>
      </c>
      <c r="M42" s="27">
        <v>0.01</v>
      </c>
      <c r="N42" s="27" t="s">
        <v>755</v>
      </c>
    </row>
    <row r="43" spans="1:21" ht="39" customHeight="1" x14ac:dyDescent="0.25">
      <c r="A43" s="5"/>
    </row>
    <row r="44" spans="1:21" ht="42.75" customHeight="1" x14ac:dyDescent="0.25">
      <c r="A44" s="5"/>
      <c r="B44" s="28"/>
      <c r="C44" s="28"/>
      <c r="D44" s="28"/>
      <c r="G44" s="1060" t="s">
        <v>78</v>
      </c>
      <c r="H44" s="1061"/>
      <c r="I44" s="1061"/>
      <c r="J44" s="1061"/>
      <c r="K44" s="1061"/>
      <c r="L44" s="1061"/>
      <c r="M44" s="1061"/>
      <c r="N44" s="1061"/>
      <c r="O44" s="1061"/>
      <c r="P44" s="1061"/>
      <c r="Q44" s="1061"/>
      <c r="R44" s="1061"/>
      <c r="S44" s="1061"/>
      <c r="T44" s="1062"/>
      <c r="U44" s="936" t="s">
        <v>79</v>
      </c>
    </row>
    <row r="45" spans="1:21" ht="91.5" customHeight="1" x14ac:dyDescent="0.25">
      <c r="A45" s="5"/>
      <c r="G45" s="1063" t="s">
        <v>183</v>
      </c>
      <c r="H45" s="1063"/>
      <c r="I45" s="1040" t="s">
        <v>184</v>
      </c>
      <c r="J45" s="1059"/>
      <c r="K45" s="1059"/>
      <c r="L45" s="1059"/>
      <c r="M45" s="1059"/>
      <c r="N45" s="1059"/>
      <c r="O45" s="1059"/>
      <c r="P45" s="1041"/>
      <c r="Q45" s="990" t="s">
        <v>185</v>
      </c>
      <c r="R45" s="990" t="s">
        <v>186</v>
      </c>
      <c r="S45" s="990" t="s">
        <v>187</v>
      </c>
      <c r="T45" s="990" t="s">
        <v>188</v>
      </c>
      <c r="U45" s="992"/>
    </row>
    <row r="46" spans="1:21" ht="62.25" customHeight="1" x14ac:dyDescent="0.3">
      <c r="B46" s="29"/>
      <c r="C46" s="30"/>
      <c r="D46" s="30"/>
      <c r="G46" s="179" t="s">
        <v>189</v>
      </c>
      <c r="H46" s="179" t="s">
        <v>190</v>
      </c>
      <c r="I46" s="182" t="s">
        <v>642</v>
      </c>
      <c r="J46" s="179">
        <v>2008</v>
      </c>
      <c r="K46" s="179">
        <v>2009</v>
      </c>
      <c r="L46" s="179">
        <v>2010</v>
      </c>
      <c r="M46" s="179">
        <v>2011</v>
      </c>
      <c r="N46" s="179">
        <v>2012</v>
      </c>
      <c r="O46" s="182" t="s">
        <v>643</v>
      </c>
      <c r="P46" s="179">
        <v>2013</v>
      </c>
      <c r="Q46" s="991"/>
      <c r="R46" s="991"/>
      <c r="S46" s="991"/>
      <c r="T46" s="991"/>
      <c r="U46" s="937"/>
    </row>
    <row r="47" spans="1:21" ht="51.75" customHeight="1" x14ac:dyDescent="0.3">
      <c r="B47" s="29"/>
      <c r="C47" s="30"/>
      <c r="D47" s="30"/>
      <c r="G47" s="188">
        <v>1201</v>
      </c>
      <c r="H47" s="185" t="s">
        <v>644</v>
      </c>
      <c r="I47" s="186">
        <v>1510820.67</v>
      </c>
      <c r="J47" s="186">
        <v>1519255.2118716026</v>
      </c>
      <c r="K47" s="186">
        <v>1506330.3648250941</v>
      </c>
      <c r="L47" s="75">
        <v>1503441.9757455527</v>
      </c>
      <c r="M47" s="75">
        <v>1496837.1145949345</v>
      </c>
      <c r="N47" s="186">
        <v>1493785</v>
      </c>
      <c r="O47" s="186">
        <v>1484535.9817660016</v>
      </c>
      <c r="P47" s="75">
        <v>1477710.6216186448</v>
      </c>
      <c r="Q47" s="75">
        <f>O47*0.01</f>
        <v>14845.359817660015</v>
      </c>
      <c r="R47" s="75">
        <f>+O47-Q47</f>
        <v>1469690.6219483416</v>
      </c>
      <c r="S47" s="75"/>
      <c r="T47" s="76">
        <f>+((N47-S47)/N47)</f>
        <v>1</v>
      </c>
      <c r="U47" s="987" t="s">
        <v>663</v>
      </c>
    </row>
    <row r="48" spans="1:21" ht="51.75" customHeight="1" x14ac:dyDescent="0.3">
      <c r="B48" s="29"/>
      <c r="C48" s="30"/>
      <c r="D48" s="30"/>
      <c r="G48" s="188">
        <v>1201</v>
      </c>
      <c r="H48" s="185" t="s">
        <v>645</v>
      </c>
      <c r="I48" s="186">
        <v>314454.02</v>
      </c>
      <c r="J48" s="186">
        <v>374545.28302612656</v>
      </c>
      <c r="K48" s="186">
        <v>314726.46243068611</v>
      </c>
      <c r="L48" s="75">
        <v>326136.76150983304</v>
      </c>
      <c r="M48" s="75">
        <v>327388.44324908458</v>
      </c>
      <c r="N48" s="186">
        <v>308757</v>
      </c>
      <c r="O48" s="186">
        <v>336016.00692932599</v>
      </c>
      <c r="P48" s="75">
        <v>335359.13878120872</v>
      </c>
      <c r="Q48" s="75">
        <f t="shared" ref="Q48:Q64" si="0">O48*0.01</f>
        <v>3360.1600692932598</v>
      </c>
      <c r="R48" s="75">
        <f t="shared" ref="R48:R64" si="1">+O48-Q48</f>
        <v>332655.8468600327</v>
      </c>
      <c r="S48" s="75"/>
      <c r="T48" s="76">
        <f t="shared" ref="T48:T63" si="2">+((N48-S48)/N48)</f>
        <v>1</v>
      </c>
      <c r="U48" s="988"/>
    </row>
    <row r="49" spans="2:21" ht="51.75" customHeight="1" x14ac:dyDescent="0.3">
      <c r="B49" s="29"/>
      <c r="C49" s="30"/>
      <c r="D49" s="30"/>
      <c r="G49" s="188">
        <v>1201</v>
      </c>
      <c r="H49" s="185" t="s">
        <v>646</v>
      </c>
      <c r="I49" s="186">
        <v>710944.64999999991</v>
      </c>
      <c r="J49" s="186">
        <v>719711.30940777669</v>
      </c>
      <c r="K49" s="186">
        <v>709325.80631130654</v>
      </c>
      <c r="L49" s="75">
        <v>717380.98650872696</v>
      </c>
      <c r="M49" s="75">
        <v>717405.58026438626</v>
      </c>
      <c r="N49" s="186">
        <v>668798</v>
      </c>
      <c r="O49" s="186">
        <v>718907.8459488157</v>
      </c>
      <c r="P49" s="75">
        <v>715454.33509470918</v>
      </c>
      <c r="Q49" s="75">
        <f t="shared" si="0"/>
        <v>7189.078459488157</v>
      </c>
      <c r="R49" s="75">
        <f t="shared" si="1"/>
        <v>711718.76748932758</v>
      </c>
      <c r="S49" s="75"/>
      <c r="T49" s="76">
        <f t="shared" si="2"/>
        <v>1</v>
      </c>
      <c r="U49" s="988"/>
    </row>
    <row r="50" spans="2:21" ht="51.75" customHeight="1" x14ac:dyDescent="0.3">
      <c r="B50" s="29"/>
      <c r="C50" s="30"/>
      <c r="D50" s="30"/>
      <c r="G50" s="188">
        <v>1201</v>
      </c>
      <c r="H50" s="185" t="s">
        <v>647</v>
      </c>
      <c r="I50" s="186">
        <v>197403.74</v>
      </c>
      <c r="J50" s="186">
        <v>179108.99237349408</v>
      </c>
      <c r="K50" s="186">
        <v>190030.8272291912</v>
      </c>
      <c r="L50" s="75">
        <v>179906.59828105636</v>
      </c>
      <c r="M50" s="75">
        <v>195561.12036591693</v>
      </c>
      <c r="N50" s="186">
        <v>184477</v>
      </c>
      <c r="O50" s="186">
        <v>168780.01824131011</v>
      </c>
      <c r="P50" s="75">
        <v>170700.50879839325</v>
      </c>
      <c r="Q50" s="75">
        <f t="shared" si="0"/>
        <v>1687.8001824131011</v>
      </c>
      <c r="R50" s="75">
        <f t="shared" si="1"/>
        <v>167092.21805889701</v>
      </c>
      <c r="S50" s="75"/>
      <c r="T50" s="76">
        <f t="shared" si="2"/>
        <v>1</v>
      </c>
      <c r="U50" s="988"/>
    </row>
    <row r="51" spans="2:21" ht="51.75" customHeight="1" x14ac:dyDescent="0.3">
      <c r="B51" s="29"/>
      <c r="C51" s="30"/>
      <c r="D51" s="30"/>
      <c r="G51" s="188">
        <v>1201</v>
      </c>
      <c r="H51" s="185" t="s">
        <v>648</v>
      </c>
      <c r="I51" s="186">
        <v>152023.35999999999</v>
      </c>
      <c r="J51" s="186">
        <v>131204.13610484393</v>
      </c>
      <c r="K51" s="186">
        <v>140549.81241983804</v>
      </c>
      <c r="L51" s="75">
        <v>115239.31148783163</v>
      </c>
      <c r="M51" s="75">
        <v>111197.33217545672</v>
      </c>
      <c r="N51" s="186">
        <v>129813</v>
      </c>
      <c r="O51" s="186">
        <v>120376.03531386043</v>
      </c>
      <c r="P51" s="75">
        <v>116745.67109191469</v>
      </c>
      <c r="Q51" s="75">
        <f t="shared" si="0"/>
        <v>1203.7603531386044</v>
      </c>
      <c r="R51" s="75">
        <f t="shared" si="1"/>
        <v>119172.27496072183</v>
      </c>
      <c r="S51" s="75"/>
      <c r="T51" s="76">
        <f t="shared" si="2"/>
        <v>1</v>
      </c>
      <c r="U51" s="988"/>
    </row>
    <row r="52" spans="2:21" ht="51.75" customHeight="1" x14ac:dyDescent="0.3">
      <c r="B52" s="29"/>
      <c r="C52" s="30"/>
      <c r="D52" s="30"/>
      <c r="G52" s="188">
        <v>1201</v>
      </c>
      <c r="H52" s="185" t="s">
        <v>649</v>
      </c>
      <c r="I52" s="186">
        <v>150387</v>
      </c>
      <c r="J52" s="186">
        <v>125114.76</v>
      </c>
      <c r="K52" s="186">
        <v>149971.51999999999</v>
      </c>
      <c r="L52" s="75">
        <v>76987.896999999997</v>
      </c>
      <c r="M52" s="75">
        <v>76987.873999999996</v>
      </c>
      <c r="N52" s="186">
        <v>76988</v>
      </c>
      <c r="O52" s="186">
        <v>76987.873999999996</v>
      </c>
      <c r="P52" s="75">
        <v>76987.873999999996</v>
      </c>
      <c r="Q52" s="75">
        <f t="shared" si="0"/>
        <v>769.87873999999999</v>
      </c>
      <c r="R52" s="75">
        <f t="shared" si="1"/>
        <v>76217.995259999996</v>
      </c>
      <c r="S52" s="75"/>
      <c r="T52" s="76">
        <f t="shared" si="2"/>
        <v>1</v>
      </c>
      <c r="U52" s="988"/>
    </row>
    <row r="53" spans="2:21" ht="51.75" customHeight="1" x14ac:dyDescent="0.3">
      <c r="B53" s="29"/>
      <c r="C53" s="30"/>
      <c r="D53" s="30"/>
      <c r="G53" s="188">
        <v>1201</v>
      </c>
      <c r="H53" s="185" t="s">
        <v>650</v>
      </c>
      <c r="I53" s="186">
        <v>233099</v>
      </c>
      <c r="J53" s="186">
        <v>231893.69821874998</v>
      </c>
      <c r="K53" s="186">
        <v>231893.39999999997</v>
      </c>
      <c r="L53" s="75">
        <v>231893.39643749996</v>
      </c>
      <c r="M53" s="75">
        <v>231893.39643749996</v>
      </c>
      <c r="N53" s="186">
        <v>231899</v>
      </c>
      <c r="O53" s="186">
        <v>231893.39643749999</v>
      </c>
      <c r="P53" s="75">
        <v>396096</v>
      </c>
      <c r="Q53" s="75">
        <f t="shared" si="0"/>
        <v>2318.933964375</v>
      </c>
      <c r="R53" s="75">
        <f t="shared" si="1"/>
        <v>229574.46247312499</v>
      </c>
      <c r="S53" s="75"/>
      <c r="T53" s="76">
        <f t="shared" si="2"/>
        <v>1</v>
      </c>
      <c r="U53" s="988"/>
    </row>
    <row r="54" spans="2:21" ht="51.75" customHeight="1" x14ac:dyDescent="0.3">
      <c r="B54" s="29"/>
      <c r="C54" s="30"/>
      <c r="D54" s="30"/>
      <c r="G54" s="188">
        <v>1201</v>
      </c>
      <c r="H54" s="185" t="s">
        <v>651</v>
      </c>
      <c r="I54" s="186">
        <v>29485.34</v>
      </c>
      <c r="J54" s="186">
        <v>16350</v>
      </c>
      <c r="K54" s="186">
        <v>19620</v>
      </c>
      <c r="L54" s="75">
        <v>19620</v>
      </c>
      <c r="M54" s="75">
        <v>29485.300000000003</v>
      </c>
      <c r="N54" s="186">
        <v>1962</v>
      </c>
      <c r="O54" s="186">
        <v>19620</v>
      </c>
      <c r="P54" s="75">
        <v>19620</v>
      </c>
      <c r="Q54" s="75">
        <f t="shared" si="0"/>
        <v>196.20000000000002</v>
      </c>
      <c r="R54" s="75">
        <f t="shared" si="1"/>
        <v>19423.8</v>
      </c>
      <c r="S54" s="75"/>
      <c r="T54" s="76">
        <f t="shared" si="2"/>
        <v>1</v>
      </c>
      <c r="U54" s="988"/>
    </row>
    <row r="55" spans="2:21" ht="51.75" customHeight="1" x14ac:dyDescent="0.3">
      <c r="B55" s="29"/>
      <c r="C55" s="30"/>
      <c r="D55" s="30"/>
      <c r="G55" s="188">
        <v>1201</v>
      </c>
      <c r="H55" s="185" t="s">
        <v>652</v>
      </c>
      <c r="I55" s="186">
        <v>652700.39</v>
      </c>
      <c r="J55" s="186">
        <v>564427.34333333327</v>
      </c>
      <c r="K55" s="186">
        <v>644505.8600000001</v>
      </c>
      <c r="L55" s="75">
        <v>639673.20598958316</v>
      </c>
      <c r="M55" s="75">
        <v>645717.10533333337</v>
      </c>
      <c r="N55" s="186">
        <v>638207</v>
      </c>
      <c r="O55" s="186">
        <v>684100.60728865559</v>
      </c>
      <c r="P55" s="75">
        <v>681615.99739733338</v>
      </c>
      <c r="Q55" s="75">
        <f t="shared" si="0"/>
        <v>6841.0060728865565</v>
      </c>
      <c r="R55" s="75">
        <f t="shared" si="1"/>
        <v>677259.60121576907</v>
      </c>
      <c r="S55" s="75"/>
      <c r="T55" s="76">
        <f t="shared" si="2"/>
        <v>1</v>
      </c>
      <c r="U55" s="988"/>
    </row>
    <row r="56" spans="2:21" ht="51.75" customHeight="1" x14ac:dyDescent="0.3">
      <c r="B56" s="29"/>
      <c r="C56" s="30"/>
      <c r="D56" s="30"/>
      <c r="G56" s="188">
        <v>1201</v>
      </c>
      <c r="H56" s="185" t="s">
        <v>653</v>
      </c>
      <c r="I56" s="186">
        <v>98220.959999999992</v>
      </c>
      <c r="J56" s="186">
        <v>127166.73606943605</v>
      </c>
      <c r="K56" s="186">
        <v>95188.161342187756</v>
      </c>
      <c r="L56" s="75">
        <v>112045.27617693288</v>
      </c>
      <c r="M56" s="75">
        <v>99988.457292949694</v>
      </c>
      <c r="N56" s="186">
        <v>40749</v>
      </c>
      <c r="O56" s="186">
        <v>114224.27508808022</v>
      </c>
      <c r="P56" s="75">
        <v>118742.81297771717</v>
      </c>
      <c r="Q56" s="75">
        <f t="shared" si="0"/>
        <v>1142.2427508808023</v>
      </c>
      <c r="R56" s="75">
        <f t="shared" si="1"/>
        <v>113082.03233719942</v>
      </c>
      <c r="S56" s="75"/>
      <c r="T56" s="76">
        <f t="shared" si="2"/>
        <v>1</v>
      </c>
      <c r="U56" s="988"/>
    </row>
    <row r="57" spans="2:21" ht="51.75" customHeight="1" x14ac:dyDescent="0.3">
      <c r="B57" s="29"/>
      <c r="C57" s="30"/>
      <c r="D57" s="30"/>
      <c r="G57" s="188">
        <v>1201</v>
      </c>
      <c r="H57" s="185" t="s">
        <v>654</v>
      </c>
      <c r="I57" s="186">
        <v>321278.40000000002</v>
      </c>
      <c r="J57" s="186">
        <v>267732.2</v>
      </c>
      <c r="K57" s="186">
        <v>262660.12</v>
      </c>
      <c r="L57" s="75">
        <v>211702.31999999998</v>
      </c>
      <c r="M57" s="75">
        <v>211702.36</v>
      </c>
      <c r="N57" s="186">
        <v>211702</v>
      </c>
      <c r="O57" s="186">
        <v>211702.32</v>
      </c>
      <c r="P57" s="75">
        <v>211702.32</v>
      </c>
      <c r="Q57" s="75">
        <f t="shared" si="0"/>
        <v>2117.0232000000001</v>
      </c>
      <c r="R57" s="75">
        <f t="shared" si="1"/>
        <v>209585.29680000001</v>
      </c>
      <c r="S57" s="75"/>
      <c r="T57" s="76">
        <f t="shared" si="2"/>
        <v>1</v>
      </c>
      <c r="U57" s="988"/>
    </row>
    <row r="58" spans="2:21" ht="51.75" customHeight="1" x14ac:dyDescent="0.3">
      <c r="B58" s="29"/>
      <c r="C58" s="30"/>
      <c r="D58" s="30"/>
      <c r="G58" s="188">
        <v>1201</v>
      </c>
      <c r="H58" s="185" t="s">
        <v>655</v>
      </c>
      <c r="I58" s="186">
        <v>12060</v>
      </c>
      <c r="J58" s="186">
        <v>10050</v>
      </c>
      <c r="K58" s="186">
        <v>12060</v>
      </c>
      <c r="L58" s="75">
        <v>12060</v>
      </c>
      <c r="M58" s="75">
        <v>12060</v>
      </c>
      <c r="N58" s="186">
        <v>1206</v>
      </c>
      <c r="O58" s="186">
        <v>12060</v>
      </c>
      <c r="P58" s="75">
        <v>12060</v>
      </c>
      <c r="Q58" s="75">
        <f t="shared" si="0"/>
        <v>120.60000000000001</v>
      </c>
      <c r="R58" s="75">
        <f t="shared" si="1"/>
        <v>11939.4</v>
      </c>
      <c r="S58" s="75"/>
      <c r="T58" s="76">
        <f t="shared" si="2"/>
        <v>1</v>
      </c>
      <c r="U58" s="988"/>
    </row>
    <row r="59" spans="2:21" ht="51.75" customHeight="1" x14ac:dyDescent="0.3">
      <c r="B59" s="29"/>
      <c r="C59" s="30"/>
      <c r="D59" s="30"/>
      <c r="G59" s="188">
        <v>1201</v>
      </c>
      <c r="H59" s="185" t="s">
        <v>656</v>
      </c>
      <c r="I59" s="186">
        <v>404424</v>
      </c>
      <c r="J59" s="186">
        <v>471362</v>
      </c>
      <c r="K59" s="186">
        <v>404424</v>
      </c>
      <c r="L59" s="75">
        <v>427851.99799799989</v>
      </c>
      <c r="M59" s="75">
        <v>428492.88</v>
      </c>
      <c r="N59" s="186">
        <v>427212</v>
      </c>
      <c r="O59" s="186"/>
      <c r="P59" s="75"/>
      <c r="Q59" s="75">
        <f t="shared" si="0"/>
        <v>0</v>
      </c>
      <c r="R59" s="75">
        <f t="shared" si="1"/>
        <v>0</v>
      </c>
      <c r="S59" s="75"/>
      <c r="T59" s="76">
        <f t="shared" si="2"/>
        <v>1</v>
      </c>
      <c r="U59" s="988"/>
    </row>
    <row r="60" spans="2:21" ht="51.75" customHeight="1" x14ac:dyDescent="0.25">
      <c r="G60" s="188">
        <v>1201</v>
      </c>
      <c r="H60" s="185" t="s">
        <v>657</v>
      </c>
      <c r="I60" s="186">
        <v>137156</v>
      </c>
      <c r="J60" s="186">
        <v>110309.37270507813</v>
      </c>
      <c r="K60" s="186">
        <v>79952.75</v>
      </c>
      <c r="L60" s="75">
        <v>92072.013000000006</v>
      </c>
      <c r="M60" s="75">
        <v>79952.747000000003</v>
      </c>
      <c r="N60" s="186">
        <v>60832</v>
      </c>
      <c r="O60" s="186">
        <v>60832.944000000003</v>
      </c>
      <c r="P60" s="75">
        <v>60832.944000000003</v>
      </c>
      <c r="Q60" s="75">
        <f t="shared" si="0"/>
        <v>608.32944000000009</v>
      </c>
      <c r="R60" s="75">
        <f t="shared" si="1"/>
        <v>60224.614560000002</v>
      </c>
      <c r="S60" s="75"/>
      <c r="T60" s="76">
        <f t="shared" si="2"/>
        <v>1</v>
      </c>
      <c r="U60" s="988"/>
    </row>
    <row r="61" spans="2:21" ht="51.75" customHeight="1" x14ac:dyDescent="0.25">
      <c r="G61" s="187"/>
      <c r="H61" s="185" t="s">
        <v>658</v>
      </c>
      <c r="I61" s="186"/>
      <c r="J61" s="186"/>
      <c r="K61" s="186"/>
      <c r="L61" s="75"/>
      <c r="M61" s="75"/>
      <c r="N61" s="186"/>
      <c r="O61" s="186">
        <v>45990</v>
      </c>
      <c r="P61" s="75">
        <v>45990</v>
      </c>
      <c r="Q61" s="75">
        <f t="shared" si="0"/>
        <v>459.90000000000003</v>
      </c>
      <c r="R61" s="75">
        <f t="shared" si="1"/>
        <v>45530.1</v>
      </c>
      <c r="S61" s="75"/>
      <c r="T61" s="76" t="e">
        <f t="shared" si="2"/>
        <v>#DIV/0!</v>
      </c>
      <c r="U61" s="988"/>
    </row>
    <row r="62" spans="2:21" ht="51.75" customHeight="1" x14ac:dyDescent="0.25">
      <c r="G62" s="187"/>
      <c r="H62" s="185" t="s">
        <v>659</v>
      </c>
      <c r="I62" s="186"/>
      <c r="J62" s="186"/>
      <c r="K62" s="186"/>
      <c r="L62" s="75"/>
      <c r="M62" s="75"/>
      <c r="N62" s="186"/>
      <c r="O62" s="186">
        <v>561830.89324486139</v>
      </c>
      <c r="P62" s="75">
        <v>559323.66638644703</v>
      </c>
      <c r="Q62" s="75">
        <f t="shared" si="0"/>
        <v>5618.3089324486136</v>
      </c>
      <c r="R62" s="75">
        <f t="shared" si="1"/>
        <v>556212.58431241277</v>
      </c>
      <c r="S62" s="75"/>
      <c r="T62" s="76" t="e">
        <f t="shared" si="2"/>
        <v>#DIV/0!</v>
      </c>
      <c r="U62" s="988"/>
    </row>
    <row r="63" spans="2:21" ht="51.75" customHeight="1" x14ac:dyDescent="0.25">
      <c r="G63" s="187"/>
      <c r="H63" s="185"/>
      <c r="I63" s="186"/>
      <c r="J63" s="186"/>
      <c r="K63" s="186"/>
      <c r="L63" s="75"/>
      <c r="M63" s="75"/>
      <c r="N63" s="186"/>
      <c r="O63" s="186"/>
      <c r="P63" s="75"/>
      <c r="Q63" s="75">
        <f t="shared" si="0"/>
        <v>0</v>
      </c>
      <c r="R63" s="75">
        <f t="shared" si="1"/>
        <v>0</v>
      </c>
      <c r="S63" s="75"/>
      <c r="T63" s="76" t="e">
        <f t="shared" si="2"/>
        <v>#DIV/0!</v>
      </c>
      <c r="U63" s="988"/>
    </row>
    <row r="64" spans="2:21" ht="51.75" customHeight="1" x14ac:dyDescent="0.25">
      <c r="G64" s="1038" t="s">
        <v>81</v>
      </c>
      <c r="H64" s="1039"/>
      <c r="I64" s="77">
        <f>SUM(I47:I63)</f>
        <v>4924457.53</v>
      </c>
      <c r="J64" s="77">
        <f t="shared" ref="J64:O64" si="3">SUM(J47:J63)</f>
        <v>4848231.0431104405</v>
      </c>
      <c r="K64" s="77">
        <f t="shared" si="3"/>
        <v>4761239.0845583044</v>
      </c>
      <c r="L64" s="77">
        <f t="shared" si="3"/>
        <v>4666011.7401350169</v>
      </c>
      <c r="M64" s="77">
        <f t="shared" si="3"/>
        <v>4664669.7107135626</v>
      </c>
      <c r="N64" s="77">
        <f t="shared" si="3"/>
        <v>4476387</v>
      </c>
      <c r="O64" s="77">
        <f t="shared" si="3"/>
        <v>4847858.1982584111</v>
      </c>
      <c r="P64" s="77">
        <f>SUM(P47:P63)</f>
        <v>4998941.8901463682</v>
      </c>
      <c r="Q64" s="75">
        <f t="shared" si="0"/>
        <v>48478.58198258411</v>
      </c>
      <c r="R64" s="75">
        <f t="shared" si="1"/>
        <v>4799379.6162758274</v>
      </c>
      <c r="S64" s="75">
        <f>SUM(S47:S63)</f>
        <v>0</v>
      </c>
      <c r="T64" s="76">
        <f>+((N64-S64)/N64)</f>
        <v>1</v>
      </c>
      <c r="U64" s="989"/>
    </row>
    <row r="65" spans="1:21" ht="20.25" customHeight="1" x14ac:dyDescent="0.3">
      <c r="B65" s="29"/>
      <c r="C65" s="30"/>
      <c r="D65" s="30"/>
      <c r="G65" s="36"/>
      <c r="H65" s="37"/>
      <c r="I65" s="37"/>
      <c r="J65" s="37"/>
      <c r="K65" s="38"/>
      <c r="L65" s="38"/>
      <c r="M65" s="38"/>
      <c r="N65" s="38"/>
    </row>
    <row r="66" spans="1:21" ht="14.25" customHeight="1" x14ac:dyDescent="0.3">
      <c r="B66" s="29"/>
      <c r="C66" s="30"/>
      <c r="D66" s="30"/>
      <c r="G66" s="36"/>
      <c r="H66" s="37"/>
      <c r="I66" s="37"/>
      <c r="J66" s="37"/>
      <c r="K66" s="38"/>
      <c r="L66" s="38"/>
      <c r="M66" s="38"/>
      <c r="N66" s="38"/>
    </row>
    <row r="67" spans="1:21" ht="33" customHeight="1" x14ac:dyDescent="0.25">
      <c r="A67" s="853" t="str">
        <f>+D12</f>
        <v>PORCENTAJE DE REDUCCIÓN DE CARGA CONTAMINANTE PARÁMETROS SST.</v>
      </c>
      <c r="B67" s="854"/>
      <c r="C67" s="854"/>
      <c r="D67" s="854"/>
      <c r="E67" s="854"/>
      <c r="F67" s="854"/>
      <c r="G67" s="854"/>
      <c r="H67" s="854"/>
      <c r="I67" s="854"/>
      <c r="J67" s="854"/>
      <c r="K67" s="854"/>
      <c r="L67" s="854"/>
      <c r="M67" s="854"/>
      <c r="N67" s="854"/>
      <c r="O67" s="854"/>
      <c r="P67" s="854"/>
      <c r="Q67" s="854"/>
      <c r="R67" s="854"/>
      <c r="S67" s="855"/>
    </row>
    <row r="68" spans="1:21" x14ac:dyDescent="0.25">
      <c r="A68" s="5"/>
    </row>
    <row r="69" spans="1:21" ht="39" customHeight="1" x14ac:dyDescent="0.25">
      <c r="A69" s="26"/>
      <c r="G69" s="39">
        <v>2008</v>
      </c>
      <c r="H69" s="39">
        <v>2009</v>
      </c>
      <c r="I69" s="39">
        <v>2010</v>
      </c>
      <c r="J69" s="39">
        <v>2011</v>
      </c>
      <c r="K69" s="39">
        <v>2012</v>
      </c>
      <c r="L69" s="39">
        <v>2013</v>
      </c>
      <c r="M69" s="39">
        <v>2014</v>
      </c>
      <c r="N69" s="39">
        <v>2015</v>
      </c>
    </row>
    <row r="70" spans="1:21" ht="39" customHeight="1" x14ac:dyDescent="0.25">
      <c r="A70" s="866" t="s">
        <v>191</v>
      </c>
      <c r="B70" s="867"/>
      <c r="C70" s="867"/>
      <c r="D70" s="867"/>
      <c r="E70" s="867"/>
      <c r="F70" s="867"/>
      <c r="G70" s="183">
        <f>($I$93-J93)/$I$93</f>
        <v>2.1630955489998758E-3</v>
      </c>
      <c r="H70" s="183">
        <f>($I$93-K93)/$I$93</f>
        <v>3.8433985470150776E-2</v>
      </c>
      <c r="I70" s="183">
        <f>($I$93-L93)/$I$93</f>
        <v>4.9599795590322841E-2</v>
      </c>
      <c r="J70" s="183">
        <f>($I$93-M93)/$I$93</f>
        <v>5.2032122143185852E-2</v>
      </c>
      <c r="K70" s="183">
        <f>($I$93-N93)/$I$93</f>
        <v>0.10204121096966624</v>
      </c>
      <c r="L70" s="183">
        <f>($O$93-P93)/$O$93</f>
        <v>-1.1378191246652255E-2</v>
      </c>
      <c r="M70" s="27"/>
      <c r="N70" s="27" t="s">
        <v>755</v>
      </c>
    </row>
    <row r="71" spans="1:21" ht="39" customHeight="1" x14ac:dyDescent="0.25">
      <c r="A71" s="866" t="s">
        <v>76</v>
      </c>
      <c r="B71" s="867"/>
      <c r="C71" s="867"/>
      <c r="D71" s="867"/>
      <c r="E71" s="867"/>
      <c r="F71" s="867"/>
      <c r="G71" s="27">
        <v>0.01</v>
      </c>
      <c r="H71" s="27">
        <v>0.01</v>
      </c>
      <c r="I71" s="27">
        <v>0.01</v>
      </c>
      <c r="J71" s="27">
        <v>0.01</v>
      </c>
      <c r="K71" s="27">
        <v>0.01</v>
      </c>
      <c r="L71" s="27">
        <v>0.01</v>
      </c>
      <c r="M71" s="27">
        <v>0.01</v>
      </c>
      <c r="N71" s="27" t="s">
        <v>755</v>
      </c>
    </row>
    <row r="72" spans="1:21" ht="39" customHeight="1" x14ac:dyDescent="0.25">
      <c r="A72" s="5"/>
    </row>
    <row r="73" spans="1:21" ht="42.75" customHeight="1" x14ac:dyDescent="0.25">
      <c r="A73" s="5"/>
      <c r="B73" s="28"/>
      <c r="C73" s="28"/>
      <c r="D73" s="28"/>
      <c r="G73" s="1060" t="s">
        <v>78</v>
      </c>
      <c r="H73" s="1061"/>
      <c r="I73" s="1061"/>
      <c r="J73" s="1061"/>
      <c r="K73" s="1061"/>
      <c r="L73" s="1061"/>
      <c r="M73" s="1061"/>
      <c r="N73" s="1061"/>
      <c r="O73" s="1061"/>
      <c r="P73" s="1061"/>
      <c r="Q73" s="1061"/>
      <c r="R73" s="1061"/>
      <c r="S73" s="1061"/>
      <c r="T73" s="1062"/>
      <c r="U73" s="936" t="s">
        <v>79</v>
      </c>
    </row>
    <row r="74" spans="1:21" ht="50.25" customHeight="1" x14ac:dyDescent="0.25">
      <c r="A74" s="5"/>
      <c r="G74" s="1040" t="s">
        <v>183</v>
      </c>
      <c r="H74" s="1041"/>
      <c r="I74" s="1040" t="s">
        <v>184</v>
      </c>
      <c r="J74" s="1059"/>
      <c r="K74" s="1059"/>
      <c r="L74" s="1059"/>
      <c r="M74" s="1059"/>
      <c r="N74" s="1059"/>
      <c r="O74" s="1059"/>
      <c r="P74" s="1041"/>
      <c r="Q74" s="180" t="s">
        <v>185</v>
      </c>
      <c r="R74" s="990" t="s">
        <v>186</v>
      </c>
      <c r="S74" s="990" t="s">
        <v>187</v>
      </c>
      <c r="T74" s="990" t="s">
        <v>192</v>
      </c>
      <c r="U74" s="992"/>
    </row>
    <row r="75" spans="1:21" ht="112.5" customHeight="1" x14ac:dyDescent="0.3">
      <c r="B75" s="29"/>
      <c r="C75" s="30"/>
      <c r="D75" s="30"/>
      <c r="G75" s="179" t="s">
        <v>189</v>
      </c>
      <c r="H75" s="179" t="s">
        <v>190</v>
      </c>
      <c r="I75" s="182" t="s">
        <v>642</v>
      </c>
      <c r="J75" s="179">
        <v>2008</v>
      </c>
      <c r="K75" s="179">
        <v>2009</v>
      </c>
      <c r="L75" s="179">
        <v>2010</v>
      </c>
      <c r="M75" s="179">
        <v>2011</v>
      </c>
      <c r="N75" s="179">
        <v>2012</v>
      </c>
      <c r="O75" s="182" t="s">
        <v>643</v>
      </c>
      <c r="P75" s="179">
        <v>2013</v>
      </c>
      <c r="Q75" s="181"/>
      <c r="R75" s="991"/>
      <c r="S75" s="991"/>
      <c r="T75" s="991"/>
      <c r="U75" s="937"/>
    </row>
    <row r="76" spans="1:21" ht="51.75" customHeight="1" x14ac:dyDescent="0.3">
      <c r="B76" s="29"/>
      <c r="C76" s="30"/>
      <c r="D76" s="30"/>
      <c r="G76" s="184">
        <v>1201</v>
      </c>
      <c r="H76" s="185" t="s">
        <v>644</v>
      </c>
      <c r="I76" s="186">
        <v>1473634.43</v>
      </c>
      <c r="J76" s="186">
        <v>1494173.0024428293</v>
      </c>
      <c r="K76" s="186">
        <v>1473354.493534144</v>
      </c>
      <c r="L76" s="75">
        <v>1472594.5191488802</v>
      </c>
      <c r="M76" s="75">
        <v>1464034.5177978883</v>
      </c>
      <c r="N76" s="186">
        <v>1457916</v>
      </c>
      <c r="O76" s="186">
        <v>1446359.2206912173</v>
      </c>
      <c r="P76" s="75">
        <v>1435834.3116349492</v>
      </c>
      <c r="Q76" s="75">
        <f>O76*0.01</f>
        <v>14463.592206912173</v>
      </c>
      <c r="R76" s="75">
        <f>+O76-Q76</f>
        <v>1431895.6284843052</v>
      </c>
      <c r="S76" s="75"/>
      <c r="T76" s="76">
        <f t="shared" ref="T76:T93" si="4">+((N76-S76)/N76)</f>
        <v>1</v>
      </c>
      <c r="U76" s="987" t="s">
        <v>662</v>
      </c>
    </row>
    <row r="77" spans="1:21" ht="51.75" customHeight="1" x14ac:dyDescent="0.3">
      <c r="B77" s="29"/>
      <c r="C77" s="30"/>
      <c r="D77" s="30"/>
      <c r="G77" s="184">
        <v>1201</v>
      </c>
      <c r="H77" s="185" t="s">
        <v>645</v>
      </c>
      <c r="I77" s="186">
        <v>304926.12</v>
      </c>
      <c r="J77" s="186">
        <v>355506.8201981904</v>
      </c>
      <c r="K77" s="186">
        <v>307417.17999359034</v>
      </c>
      <c r="L77" s="75">
        <v>297918.35027889651</v>
      </c>
      <c r="M77" s="75">
        <v>316854.81667794159</v>
      </c>
      <c r="N77" s="186">
        <v>301624</v>
      </c>
      <c r="O77" s="186">
        <v>317080.90097561094</v>
      </c>
      <c r="P77" s="75">
        <v>307603.97687850671</v>
      </c>
      <c r="Q77" s="75">
        <f t="shared" ref="Q77:Q93" si="5">O77*0.01</f>
        <v>3170.8090097561094</v>
      </c>
      <c r="R77" s="75">
        <f t="shared" ref="R77:R93" si="6">+O77-Q77</f>
        <v>313910.09196585481</v>
      </c>
      <c r="S77" s="75"/>
      <c r="T77" s="76">
        <f t="shared" si="4"/>
        <v>1</v>
      </c>
      <c r="U77" s="988"/>
    </row>
    <row r="78" spans="1:21" ht="51.75" customHeight="1" x14ac:dyDescent="0.3">
      <c r="B78" s="29"/>
      <c r="C78" s="30"/>
      <c r="D78" s="30"/>
      <c r="G78" s="184">
        <v>1201</v>
      </c>
      <c r="H78" s="185" t="s">
        <v>646</v>
      </c>
      <c r="I78" s="186">
        <v>435136.02</v>
      </c>
      <c r="J78" s="186">
        <v>477549.67136387416</v>
      </c>
      <c r="K78" s="186">
        <v>432392.93520165479</v>
      </c>
      <c r="L78" s="75">
        <v>463128.97386319283</v>
      </c>
      <c r="M78" s="75">
        <v>469787.57701904798</v>
      </c>
      <c r="N78" s="186">
        <v>428692</v>
      </c>
      <c r="O78" s="186">
        <v>481876.65867018263</v>
      </c>
      <c r="P78" s="75">
        <v>474130.20113593509</v>
      </c>
      <c r="Q78" s="75">
        <f t="shared" si="5"/>
        <v>4818.7665867018268</v>
      </c>
      <c r="R78" s="75">
        <f t="shared" si="6"/>
        <v>477057.89208348078</v>
      </c>
      <c r="S78" s="75"/>
      <c r="T78" s="76">
        <f t="shared" si="4"/>
        <v>1</v>
      </c>
      <c r="U78" s="988"/>
    </row>
    <row r="79" spans="1:21" ht="51.75" customHeight="1" x14ac:dyDescent="0.3">
      <c r="B79" s="29"/>
      <c r="C79" s="30"/>
      <c r="D79" s="30"/>
      <c r="G79" s="184">
        <v>1201</v>
      </c>
      <c r="H79" s="185" t="s">
        <v>647</v>
      </c>
      <c r="I79" s="186">
        <v>319674</v>
      </c>
      <c r="J79" s="186">
        <v>290551.98921720521</v>
      </c>
      <c r="K79" s="186">
        <v>307677.21334316907</v>
      </c>
      <c r="L79" s="75">
        <v>290001.02861020132</v>
      </c>
      <c r="M79" s="75">
        <v>306547.39866335964</v>
      </c>
      <c r="N79" s="186">
        <v>221771</v>
      </c>
      <c r="O79" s="186">
        <v>259253.1872000618</v>
      </c>
      <c r="P79" s="75">
        <v>260586.16959771339</v>
      </c>
      <c r="Q79" s="75">
        <f t="shared" si="5"/>
        <v>2592.531872000618</v>
      </c>
      <c r="R79" s="75">
        <f t="shared" si="6"/>
        <v>256660.6553280612</v>
      </c>
      <c r="S79" s="75"/>
      <c r="T79" s="76">
        <f t="shared" si="4"/>
        <v>1</v>
      </c>
      <c r="U79" s="988"/>
    </row>
    <row r="80" spans="1:21" ht="51.75" customHeight="1" x14ac:dyDescent="0.3">
      <c r="B80" s="29"/>
      <c r="C80" s="30"/>
      <c r="D80" s="30"/>
      <c r="G80" s="184">
        <v>1201</v>
      </c>
      <c r="H80" s="185" t="s">
        <v>648</v>
      </c>
      <c r="I80" s="186">
        <v>190516.12</v>
      </c>
      <c r="J80" s="186">
        <v>153492.26185502531</v>
      </c>
      <c r="K80" s="186">
        <v>190703.70796835172</v>
      </c>
      <c r="L80" s="75">
        <v>146289.76088445296</v>
      </c>
      <c r="M80" s="75">
        <v>119222.82313652491</v>
      </c>
      <c r="N80" s="186">
        <v>176428</v>
      </c>
      <c r="O80" s="186">
        <v>148083.16472298891</v>
      </c>
      <c r="P80" s="75">
        <v>143772.84691486918</v>
      </c>
      <c r="Q80" s="75">
        <f t="shared" si="5"/>
        <v>1480.8316472298891</v>
      </c>
      <c r="R80" s="75">
        <f t="shared" si="6"/>
        <v>146602.33307575903</v>
      </c>
      <c r="S80" s="75"/>
      <c r="T80" s="76">
        <f t="shared" si="4"/>
        <v>1</v>
      </c>
      <c r="U80" s="988"/>
    </row>
    <row r="81" spans="1:21" ht="51.75" customHeight="1" x14ac:dyDescent="0.3">
      <c r="B81" s="29"/>
      <c r="C81" s="30"/>
      <c r="D81" s="30"/>
      <c r="G81" s="184">
        <v>1201</v>
      </c>
      <c r="H81" s="185" t="s">
        <v>649</v>
      </c>
      <c r="I81" s="186">
        <v>120187</v>
      </c>
      <c r="J81" s="186">
        <v>100010.12000000001</v>
      </c>
      <c r="K81" s="186">
        <v>119895.92000000001</v>
      </c>
      <c r="L81" s="75">
        <v>57514.315000000002</v>
      </c>
      <c r="M81" s="75">
        <v>57514.310000000005</v>
      </c>
      <c r="N81" s="186">
        <v>57514</v>
      </c>
      <c r="O81" s="186">
        <v>57514.310000000005</v>
      </c>
      <c r="P81" s="75">
        <v>57514.310000000005</v>
      </c>
      <c r="Q81" s="75">
        <f t="shared" si="5"/>
        <v>575.14310000000012</v>
      </c>
      <c r="R81" s="75">
        <f t="shared" si="6"/>
        <v>56939.166900000004</v>
      </c>
      <c r="S81" s="75"/>
      <c r="T81" s="76">
        <f t="shared" si="4"/>
        <v>1</v>
      </c>
      <c r="U81" s="988"/>
    </row>
    <row r="82" spans="1:21" ht="51.75" customHeight="1" x14ac:dyDescent="0.3">
      <c r="B82" s="29"/>
      <c r="C82" s="30"/>
      <c r="D82" s="30"/>
      <c r="G82" s="184">
        <v>1201</v>
      </c>
      <c r="H82" s="185" t="s">
        <v>650</v>
      </c>
      <c r="I82" s="186">
        <v>136503.17000000001</v>
      </c>
      <c r="J82" s="186">
        <v>135603.17662499999</v>
      </c>
      <c r="K82" s="186">
        <v>135603.17000000001</v>
      </c>
      <c r="L82" s="75">
        <v>135603.17324999999</v>
      </c>
      <c r="M82" s="75">
        <v>135603.17324999999</v>
      </c>
      <c r="N82" s="186">
        <v>135603</v>
      </c>
      <c r="O82" s="186">
        <v>135603.17324999999</v>
      </c>
      <c r="P82" s="75">
        <v>224364</v>
      </c>
      <c r="Q82" s="75">
        <f t="shared" si="5"/>
        <v>1356.0317324999999</v>
      </c>
      <c r="R82" s="75">
        <f t="shared" si="6"/>
        <v>134247.14151749999</v>
      </c>
      <c r="S82" s="75"/>
      <c r="T82" s="76">
        <f t="shared" si="4"/>
        <v>1</v>
      </c>
      <c r="U82" s="988"/>
    </row>
    <row r="83" spans="1:21" ht="51.75" customHeight="1" x14ac:dyDescent="0.3">
      <c r="B83" s="29"/>
      <c r="C83" s="30"/>
      <c r="D83" s="30"/>
      <c r="G83" s="184">
        <v>1201</v>
      </c>
      <c r="H83" s="185" t="s">
        <v>651</v>
      </c>
      <c r="I83" s="186">
        <v>23925.360000000001</v>
      </c>
      <c r="J83" s="186">
        <v>17940</v>
      </c>
      <c r="K83" s="186">
        <v>21528</v>
      </c>
      <c r="L83" s="75">
        <v>21528</v>
      </c>
      <c r="M83" s="75">
        <v>31101.3</v>
      </c>
      <c r="N83" s="186">
        <v>21258</v>
      </c>
      <c r="O83" s="186">
        <v>21528</v>
      </c>
      <c r="P83" s="75">
        <v>21528</v>
      </c>
      <c r="Q83" s="75">
        <f t="shared" si="5"/>
        <v>215.28</v>
      </c>
      <c r="R83" s="75">
        <f t="shared" si="6"/>
        <v>21312.720000000001</v>
      </c>
      <c r="S83" s="75"/>
      <c r="T83" s="76">
        <f t="shared" si="4"/>
        <v>1</v>
      </c>
      <c r="U83" s="988"/>
    </row>
    <row r="84" spans="1:21" ht="51.75" customHeight="1" x14ac:dyDescent="0.3">
      <c r="B84" s="29"/>
      <c r="C84" s="30"/>
      <c r="D84" s="30"/>
      <c r="G84" s="184">
        <v>1201</v>
      </c>
      <c r="H84" s="185" t="s">
        <v>652</v>
      </c>
      <c r="I84" s="186">
        <v>543111.04</v>
      </c>
      <c r="J84" s="186">
        <v>421753.70666666643</v>
      </c>
      <c r="K84" s="186">
        <v>456267.05999999994</v>
      </c>
      <c r="L84" s="75">
        <v>462000.6873229167</v>
      </c>
      <c r="M84" s="75">
        <v>459537.98699479178</v>
      </c>
      <c r="N84" s="186">
        <v>452316</v>
      </c>
      <c r="O84" s="186">
        <v>501473.51700712083</v>
      </c>
      <c r="P84" s="75">
        <v>498948.24481466663</v>
      </c>
      <c r="Q84" s="75">
        <f t="shared" si="5"/>
        <v>5014.7351700712088</v>
      </c>
      <c r="R84" s="75">
        <f t="shared" si="6"/>
        <v>496458.78183704964</v>
      </c>
      <c r="S84" s="75"/>
      <c r="T84" s="76">
        <f t="shared" si="4"/>
        <v>1</v>
      </c>
      <c r="U84" s="988"/>
    </row>
    <row r="85" spans="1:21" ht="51.75" customHeight="1" x14ac:dyDescent="0.3">
      <c r="B85" s="29"/>
      <c r="C85" s="30"/>
      <c r="D85" s="30"/>
      <c r="G85" s="184">
        <v>1201</v>
      </c>
      <c r="H85" s="185" t="s">
        <v>653</v>
      </c>
      <c r="I85" s="186">
        <v>162306.06</v>
      </c>
      <c r="J85" s="186">
        <v>212517.14574219994</v>
      </c>
      <c r="K85" s="186">
        <v>161232.6028675749</v>
      </c>
      <c r="L85" s="75">
        <v>192799.82283756864</v>
      </c>
      <c r="M85" s="75">
        <v>181278.11786709959</v>
      </c>
      <c r="N85" s="186">
        <v>63799</v>
      </c>
      <c r="O85" s="186">
        <v>196375.87906688312</v>
      </c>
      <c r="P85" s="75">
        <v>198880.36638125539</v>
      </c>
      <c r="Q85" s="75">
        <f t="shared" si="5"/>
        <v>1963.7587906688314</v>
      </c>
      <c r="R85" s="75">
        <f t="shared" si="6"/>
        <v>194412.12027621429</v>
      </c>
      <c r="S85" s="75"/>
      <c r="T85" s="76">
        <f t="shared" si="4"/>
        <v>1</v>
      </c>
      <c r="U85" s="988"/>
    </row>
    <row r="86" spans="1:21" ht="51.75" customHeight="1" x14ac:dyDescent="0.3">
      <c r="B86" s="29"/>
      <c r="C86" s="30"/>
      <c r="D86" s="30"/>
      <c r="G86" s="184">
        <v>1201</v>
      </c>
      <c r="H86" s="185" t="s">
        <v>654</v>
      </c>
      <c r="I86" s="186">
        <v>257029.2</v>
      </c>
      <c r="J86" s="186">
        <v>214190.8</v>
      </c>
      <c r="K86" s="186">
        <v>228626.90000000002</v>
      </c>
      <c r="L86" s="75">
        <v>214689.02399999995</v>
      </c>
      <c r="M86" s="75">
        <v>214689.01199999999</v>
      </c>
      <c r="N86" s="186">
        <v>214689</v>
      </c>
      <c r="O86" s="186">
        <v>214689.02399999998</v>
      </c>
      <c r="P86" s="75">
        <v>214689.02399999998</v>
      </c>
      <c r="Q86" s="75">
        <f t="shared" si="5"/>
        <v>2146.8902399999997</v>
      </c>
      <c r="R86" s="75">
        <f t="shared" si="6"/>
        <v>212542.13375999997</v>
      </c>
      <c r="S86" s="75"/>
      <c r="T86" s="76">
        <f t="shared" si="4"/>
        <v>1</v>
      </c>
      <c r="U86" s="988"/>
    </row>
    <row r="87" spans="1:21" ht="51.75" customHeight="1" x14ac:dyDescent="0.3">
      <c r="B87" s="29"/>
      <c r="C87" s="30"/>
      <c r="D87" s="30"/>
      <c r="G87" s="184">
        <v>1201</v>
      </c>
      <c r="H87" s="185" t="s">
        <v>655</v>
      </c>
      <c r="I87" s="186">
        <v>10404</v>
      </c>
      <c r="J87" s="186">
        <v>8670</v>
      </c>
      <c r="K87" s="186">
        <v>10404</v>
      </c>
      <c r="L87" s="75">
        <v>10404</v>
      </c>
      <c r="M87" s="75">
        <v>10404</v>
      </c>
      <c r="N87" s="186">
        <v>10404</v>
      </c>
      <c r="O87" s="186">
        <v>10404</v>
      </c>
      <c r="P87" s="75">
        <v>10404</v>
      </c>
      <c r="Q87" s="75">
        <f t="shared" si="5"/>
        <v>104.04</v>
      </c>
      <c r="R87" s="75">
        <f t="shared" si="6"/>
        <v>10299.959999999999</v>
      </c>
      <c r="S87" s="75"/>
      <c r="T87" s="76">
        <f t="shared" si="4"/>
        <v>1</v>
      </c>
      <c r="U87" s="988"/>
    </row>
    <row r="88" spans="1:21" ht="51.75" customHeight="1" x14ac:dyDescent="0.3">
      <c r="B88" s="29"/>
      <c r="C88" s="30"/>
      <c r="D88" s="30"/>
      <c r="G88" s="184"/>
      <c r="H88" s="185" t="s">
        <v>656</v>
      </c>
      <c r="I88" s="186">
        <v>560880</v>
      </c>
      <c r="J88" s="186">
        <v>667836</v>
      </c>
      <c r="K88" s="186">
        <v>560880</v>
      </c>
      <c r="L88" s="75">
        <v>581965.19999999995</v>
      </c>
      <c r="M88" s="75">
        <v>576204.55199999991</v>
      </c>
      <c r="N88" s="186">
        <v>581965</v>
      </c>
      <c r="O88" s="186"/>
      <c r="P88" s="75"/>
      <c r="Q88" s="75">
        <f t="shared" si="5"/>
        <v>0</v>
      </c>
      <c r="R88" s="75">
        <f t="shared" si="6"/>
        <v>0</v>
      </c>
      <c r="S88" s="75"/>
      <c r="T88" s="76">
        <f t="shared" si="4"/>
        <v>1</v>
      </c>
      <c r="U88" s="988"/>
    </row>
    <row r="89" spans="1:21" ht="51.75" customHeight="1" x14ac:dyDescent="0.25">
      <c r="G89" s="184"/>
      <c r="H89" s="185" t="s">
        <v>657</v>
      </c>
      <c r="I89" s="186">
        <v>109728</v>
      </c>
      <c r="J89" s="186">
        <v>88111.843176269525</v>
      </c>
      <c r="K89" s="186">
        <v>63337.69</v>
      </c>
      <c r="L89" s="75">
        <v>70985.773099999991</v>
      </c>
      <c r="M89" s="75">
        <v>63337.685100000002</v>
      </c>
      <c r="N89" s="186">
        <v>49698</v>
      </c>
      <c r="O89" s="186">
        <v>49698.36</v>
      </c>
      <c r="P89" s="75">
        <v>49698.36</v>
      </c>
      <c r="Q89" s="75">
        <f t="shared" si="5"/>
        <v>496.98360000000002</v>
      </c>
      <c r="R89" s="75">
        <f t="shared" si="6"/>
        <v>49201.376400000001</v>
      </c>
      <c r="S89" s="75"/>
      <c r="T89" s="76">
        <f t="shared" si="4"/>
        <v>1</v>
      </c>
      <c r="U89" s="988"/>
    </row>
    <row r="90" spans="1:21" ht="51.75" customHeight="1" x14ac:dyDescent="0.25">
      <c r="G90" s="187"/>
      <c r="H90" s="185" t="s">
        <v>658</v>
      </c>
      <c r="I90" s="186"/>
      <c r="J90" s="186"/>
      <c r="K90" s="186"/>
      <c r="L90" s="75"/>
      <c r="M90" s="75"/>
      <c r="N90" s="186"/>
      <c r="O90" s="186">
        <v>51100</v>
      </c>
      <c r="P90" s="75">
        <v>51099.999995999999</v>
      </c>
      <c r="Q90" s="75">
        <f t="shared" si="5"/>
        <v>511</v>
      </c>
      <c r="R90" s="75">
        <f t="shared" si="6"/>
        <v>50589</v>
      </c>
      <c r="S90" s="75"/>
      <c r="T90" s="76" t="e">
        <f t="shared" si="4"/>
        <v>#DIV/0!</v>
      </c>
      <c r="U90" s="988"/>
    </row>
    <row r="91" spans="1:21" ht="51.75" customHeight="1" x14ac:dyDescent="0.25">
      <c r="G91" s="187"/>
      <c r="H91" s="185" t="s">
        <v>659</v>
      </c>
      <c r="I91" s="186"/>
      <c r="J91" s="186"/>
      <c r="K91" s="186"/>
      <c r="L91" s="75"/>
      <c r="M91" s="75"/>
      <c r="N91" s="186"/>
      <c r="O91" s="186">
        <v>734623.72204452218</v>
      </c>
      <c r="P91" s="75">
        <v>729240.98586965655</v>
      </c>
      <c r="Q91" s="75">
        <f t="shared" si="5"/>
        <v>7346.2372204452222</v>
      </c>
      <c r="R91" s="75">
        <f t="shared" si="6"/>
        <v>727277.48482407699</v>
      </c>
      <c r="S91" s="75"/>
      <c r="T91" s="76" t="e">
        <f t="shared" si="4"/>
        <v>#DIV/0!</v>
      </c>
      <c r="U91" s="988"/>
    </row>
    <row r="92" spans="1:21" ht="51.75" customHeight="1" x14ac:dyDescent="0.25">
      <c r="G92" s="187"/>
      <c r="H92" s="185"/>
      <c r="I92" s="186"/>
      <c r="J92" s="186"/>
      <c r="K92" s="186"/>
      <c r="L92" s="75"/>
      <c r="M92" s="75"/>
      <c r="N92" s="186"/>
      <c r="O92" s="186"/>
      <c r="P92" s="75"/>
      <c r="Q92" s="75">
        <f t="shared" si="5"/>
        <v>0</v>
      </c>
      <c r="R92" s="75">
        <f t="shared" si="6"/>
        <v>0</v>
      </c>
      <c r="S92" s="75"/>
      <c r="T92" s="76" t="e">
        <f t="shared" si="4"/>
        <v>#DIV/0!</v>
      </c>
      <c r="U92" s="988"/>
    </row>
    <row r="93" spans="1:21" ht="51.75" customHeight="1" x14ac:dyDescent="0.25">
      <c r="G93" s="1038" t="s">
        <v>81</v>
      </c>
      <c r="H93" s="1039"/>
      <c r="I93" s="77">
        <f>SUM(I76:I92)</f>
        <v>4647960.5199999996</v>
      </c>
      <c r="J93" s="77">
        <f t="shared" ref="J93:O93" si="7">SUM(J76:J92)</f>
        <v>4637906.5372872604</v>
      </c>
      <c r="K93" s="77">
        <f t="shared" si="7"/>
        <v>4469320.8729084851</v>
      </c>
      <c r="L93" s="77">
        <f t="shared" si="7"/>
        <v>4417422.6282961089</v>
      </c>
      <c r="M93" s="77">
        <f t="shared" si="7"/>
        <v>4406117.2705066539</v>
      </c>
      <c r="N93" s="77">
        <f t="shared" si="7"/>
        <v>4173677</v>
      </c>
      <c r="O93" s="77">
        <f t="shared" si="7"/>
        <v>4625663.1176285883</v>
      </c>
      <c r="P93" s="77">
        <f>SUM(P76:P92)</f>
        <v>4678294.7972235521</v>
      </c>
      <c r="Q93" s="75">
        <f t="shared" si="5"/>
        <v>46256.631176285882</v>
      </c>
      <c r="R93" s="75">
        <f t="shared" si="6"/>
        <v>4579406.4864523029</v>
      </c>
      <c r="S93" s="75">
        <f>SUM(S76:S92)</f>
        <v>0</v>
      </c>
      <c r="T93" s="76">
        <f t="shared" si="4"/>
        <v>1</v>
      </c>
      <c r="U93" s="989"/>
    </row>
    <row r="94" spans="1:21" ht="19.5" x14ac:dyDescent="0.25">
      <c r="G94" s="78"/>
      <c r="H94" s="78"/>
      <c r="I94" s="79"/>
      <c r="J94" s="79"/>
      <c r="K94" s="79"/>
      <c r="L94" s="79"/>
      <c r="M94" s="79"/>
      <c r="N94" s="79"/>
      <c r="O94" s="80"/>
      <c r="P94" s="81"/>
      <c r="Q94" s="82"/>
      <c r="R94" s="83"/>
    </row>
    <row r="95" spans="1:21" ht="19.5" x14ac:dyDescent="0.25">
      <c r="A95" s="28"/>
      <c r="B95" s="28"/>
      <c r="C95" s="28"/>
      <c r="D95" s="28"/>
      <c r="E95" s="28"/>
      <c r="F95" s="28"/>
      <c r="G95" s="84"/>
      <c r="H95" s="84"/>
      <c r="I95" s="82"/>
      <c r="J95" s="82"/>
      <c r="K95" s="82"/>
      <c r="L95" s="82"/>
      <c r="M95" s="82"/>
      <c r="N95" s="82"/>
      <c r="O95" s="81"/>
      <c r="P95" s="81"/>
      <c r="Q95" s="82"/>
    </row>
    <row r="96" spans="1:21" ht="41.25" customHeight="1" x14ac:dyDescent="0.25">
      <c r="A96" s="853" t="str">
        <f>+D15</f>
        <v>PORCENTAJE (%) DE BOSQUES CON UN VOLUMEN DE APROVECHAMIENTO PERMISIONADO MENOR O IGUAL AL PERMISIONABLE.</v>
      </c>
      <c r="B96" s="854"/>
      <c r="C96" s="854"/>
      <c r="D96" s="854"/>
      <c r="E96" s="854"/>
      <c r="F96" s="854"/>
      <c r="G96" s="854"/>
      <c r="H96" s="854"/>
      <c r="I96" s="854"/>
      <c r="J96" s="854"/>
      <c r="K96" s="854"/>
      <c r="L96" s="854"/>
      <c r="M96" s="854"/>
      <c r="N96" s="854"/>
      <c r="O96" s="855"/>
    </row>
    <row r="98" spans="1:16" ht="23" x14ac:dyDescent="0.45">
      <c r="A98" s="26"/>
      <c r="G98" s="31">
        <v>2012</v>
      </c>
      <c r="H98" s="31">
        <v>2013</v>
      </c>
      <c r="I98" s="31">
        <v>2014</v>
      </c>
      <c r="J98" s="31">
        <v>2015</v>
      </c>
    </row>
    <row r="99" spans="1:16" ht="41.25" customHeight="1" x14ac:dyDescent="0.45">
      <c r="A99" s="866" t="s">
        <v>193</v>
      </c>
      <c r="B99" s="867"/>
      <c r="C99" s="867"/>
      <c r="D99" s="867"/>
      <c r="E99" s="867"/>
      <c r="F99" s="867"/>
      <c r="G99" s="191">
        <v>1</v>
      </c>
      <c r="H99" s="191">
        <v>1</v>
      </c>
      <c r="I99" s="191">
        <v>0.77</v>
      </c>
      <c r="J99" s="191">
        <f>+K113</f>
        <v>0.66666666666666663</v>
      </c>
    </row>
    <row r="100" spans="1:16" ht="23" x14ac:dyDescent="0.45">
      <c r="A100" s="866" t="s">
        <v>76</v>
      </c>
      <c r="B100" s="867"/>
      <c r="C100" s="867"/>
      <c r="D100" s="867"/>
      <c r="E100" s="867"/>
      <c r="F100" s="867"/>
      <c r="G100" s="32">
        <v>1</v>
      </c>
      <c r="H100" s="32">
        <v>1</v>
      </c>
      <c r="I100" s="32">
        <v>1</v>
      </c>
      <c r="J100" s="32">
        <v>1</v>
      </c>
    </row>
    <row r="101" spans="1:16" x14ac:dyDescent="0.25">
      <c r="A101" s="5"/>
    </row>
    <row r="102" spans="1:16" ht="17.5" x14ac:dyDescent="0.25">
      <c r="A102" s="5"/>
      <c r="B102" s="28"/>
      <c r="C102" s="28"/>
      <c r="D102" s="28"/>
      <c r="G102" s="858" t="s">
        <v>77</v>
      </c>
      <c r="H102" s="858"/>
      <c r="I102" s="858" t="s">
        <v>78</v>
      </c>
      <c r="J102" s="858"/>
      <c r="K102" s="858"/>
      <c r="L102" s="858" t="s">
        <v>79</v>
      </c>
      <c r="M102" s="858"/>
      <c r="N102" s="858"/>
      <c r="O102" s="858"/>
    </row>
    <row r="103" spans="1:16" ht="122.5" x14ac:dyDescent="0.25">
      <c r="A103" s="5"/>
      <c r="G103" s="858"/>
      <c r="H103" s="858"/>
      <c r="I103" s="59" t="s">
        <v>194</v>
      </c>
      <c r="J103" s="59" t="s">
        <v>195</v>
      </c>
      <c r="K103" s="59" t="s">
        <v>196</v>
      </c>
      <c r="L103" s="858"/>
      <c r="M103" s="858"/>
      <c r="N103" s="858"/>
      <c r="O103" s="858"/>
    </row>
    <row r="104" spans="1:16" ht="369.75" customHeight="1" x14ac:dyDescent="0.3">
      <c r="B104" s="29"/>
      <c r="C104" s="30"/>
      <c r="D104" s="30"/>
      <c r="G104" s="859">
        <v>2012</v>
      </c>
      <c r="H104" s="859"/>
      <c r="I104" s="1014">
        <v>5</v>
      </c>
      <c r="J104" s="1014">
        <v>5</v>
      </c>
      <c r="K104" s="1015">
        <f>+I104/J104</f>
        <v>1</v>
      </c>
      <c r="L104" s="1016"/>
      <c r="M104" s="1016"/>
      <c r="N104" s="1016"/>
      <c r="O104" s="1016"/>
    </row>
    <row r="105" spans="1:16" ht="39.75" customHeight="1" x14ac:dyDescent="0.3">
      <c r="B105" s="29"/>
      <c r="C105" s="30"/>
      <c r="D105" s="30"/>
      <c r="G105" s="859"/>
      <c r="H105" s="859"/>
      <c r="I105" s="1014"/>
      <c r="J105" s="1014"/>
      <c r="K105" s="1015"/>
      <c r="L105" s="1017" t="s">
        <v>197</v>
      </c>
      <c r="M105" s="1017"/>
      <c r="N105" s="1017"/>
      <c r="O105" s="1017"/>
      <c r="P105" s="85"/>
    </row>
    <row r="106" spans="1:16" ht="323.25" customHeight="1" x14ac:dyDescent="0.3">
      <c r="B106" s="29"/>
      <c r="C106" s="30"/>
      <c r="D106" s="30"/>
      <c r="G106" s="1018">
        <v>2013</v>
      </c>
      <c r="H106" s="1019"/>
      <c r="I106" s="1022">
        <v>5</v>
      </c>
      <c r="J106" s="1022">
        <v>5</v>
      </c>
      <c r="K106" s="1015">
        <f>+I106/J106</f>
        <v>1</v>
      </c>
      <c r="L106" s="1024"/>
      <c r="M106" s="1025"/>
      <c r="N106" s="1025"/>
      <c r="O106" s="1026"/>
      <c r="P106" s="85"/>
    </row>
    <row r="107" spans="1:16" ht="45.75" customHeight="1" x14ac:dyDescent="0.3">
      <c r="B107" s="29"/>
      <c r="C107" s="30"/>
      <c r="D107" s="30"/>
      <c r="G107" s="1020"/>
      <c r="H107" s="1021"/>
      <c r="I107" s="1023"/>
      <c r="J107" s="1023"/>
      <c r="K107" s="1015"/>
      <c r="L107" s="1027"/>
      <c r="M107" s="1028"/>
      <c r="N107" s="1028"/>
      <c r="O107" s="1029"/>
      <c r="P107" s="85"/>
    </row>
    <row r="108" spans="1:16" ht="155.25" customHeight="1" x14ac:dyDescent="0.3">
      <c r="B108" s="29"/>
      <c r="C108" s="30"/>
      <c r="D108" s="30"/>
      <c r="G108" s="859">
        <v>2014</v>
      </c>
      <c r="H108" s="45" t="s">
        <v>141</v>
      </c>
      <c r="I108" s="192">
        <v>10</v>
      </c>
      <c r="J108" s="193">
        <v>13</v>
      </c>
      <c r="K108" s="190">
        <v>0.76923076923076927</v>
      </c>
      <c r="L108" s="1030"/>
      <c r="M108" s="1031"/>
      <c r="N108" s="1031"/>
      <c r="O108" s="1032"/>
      <c r="P108" s="87"/>
    </row>
    <row r="109" spans="1:16" ht="88.5" customHeight="1" x14ac:dyDescent="0.3">
      <c r="B109" s="29"/>
      <c r="C109" s="30"/>
      <c r="D109" s="30"/>
      <c r="G109" s="1037"/>
      <c r="H109" s="45" t="s">
        <v>142</v>
      </c>
      <c r="I109" s="169"/>
      <c r="J109" s="88"/>
      <c r="K109" s="88" t="e">
        <f>+I109/J109</f>
        <v>#DIV/0!</v>
      </c>
      <c r="L109" s="938"/>
      <c r="M109" s="939"/>
      <c r="N109" s="939"/>
      <c r="O109" s="1033"/>
      <c r="P109" s="87"/>
    </row>
    <row r="110" spans="1:16" ht="90" customHeight="1" x14ac:dyDescent="0.3">
      <c r="B110" s="29"/>
      <c r="C110" s="30"/>
      <c r="D110" s="30"/>
      <c r="G110" s="1037"/>
      <c r="H110" s="45" t="s">
        <v>81</v>
      </c>
      <c r="I110" s="189">
        <f>SUM(I108:I109)</f>
        <v>10</v>
      </c>
      <c r="J110" s="189">
        <f>SUM(J108:J109)</f>
        <v>13</v>
      </c>
      <c r="K110" s="86">
        <f>+I110/J110</f>
        <v>0.76923076923076927</v>
      </c>
      <c r="L110" s="1034" t="s">
        <v>667</v>
      </c>
      <c r="M110" s="1035"/>
      <c r="N110" s="1035"/>
      <c r="O110" s="1036"/>
      <c r="P110" s="87"/>
    </row>
    <row r="111" spans="1:16" ht="90" customHeight="1" x14ac:dyDescent="0.3">
      <c r="B111" s="29"/>
      <c r="C111" s="30"/>
      <c r="D111" s="30"/>
      <c r="G111" s="859">
        <v>2015</v>
      </c>
      <c r="H111" s="45" t="s">
        <v>141</v>
      </c>
      <c r="I111" s="192">
        <v>9</v>
      </c>
      <c r="J111" s="193">
        <v>6</v>
      </c>
      <c r="K111" s="86">
        <f>+J111/I111</f>
        <v>0.66666666666666663</v>
      </c>
      <c r="L111" s="1030"/>
      <c r="M111" s="1031"/>
      <c r="N111" s="1031"/>
      <c r="O111" s="1032"/>
      <c r="P111" s="87"/>
    </row>
    <row r="112" spans="1:16" ht="120" customHeight="1" x14ac:dyDescent="0.3">
      <c r="B112" s="29"/>
      <c r="C112" s="30"/>
      <c r="D112" s="30"/>
      <c r="G112" s="1037"/>
      <c r="H112" s="45" t="s">
        <v>142</v>
      </c>
      <c r="I112" s="169"/>
      <c r="J112" s="88"/>
      <c r="K112" s="88" t="e">
        <f>+I112/J112</f>
        <v>#DIV/0!</v>
      </c>
      <c r="L112" s="938"/>
      <c r="M112" s="939"/>
      <c r="N112" s="939"/>
      <c r="O112" s="1033"/>
      <c r="P112" s="87"/>
    </row>
    <row r="113" spans="1:16" ht="60" customHeight="1" x14ac:dyDescent="0.3">
      <c r="B113" s="29"/>
      <c r="C113" s="30"/>
      <c r="D113" s="30"/>
      <c r="G113" s="1037"/>
      <c r="H113" s="45" t="s">
        <v>81</v>
      </c>
      <c r="I113" s="203">
        <f>SUM(I111:I112)</f>
        <v>9</v>
      </c>
      <c r="J113" s="203">
        <f>SUM(J111:J112)</f>
        <v>6</v>
      </c>
      <c r="K113" s="86">
        <f>+J113/I113</f>
        <v>0.66666666666666663</v>
      </c>
      <c r="L113" s="1034" t="s">
        <v>792</v>
      </c>
      <c r="M113" s="1035"/>
      <c r="N113" s="1035"/>
      <c r="O113" s="1036"/>
      <c r="P113" s="87"/>
    </row>
    <row r="114" spans="1:16" ht="15" x14ac:dyDescent="0.3">
      <c r="B114" s="29"/>
      <c r="C114" s="30"/>
      <c r="D114" s="30"/>
      <c r="G114" s="36"/>
      <c r="H114" s="37"/>
      <c r="I114" s="37"/>
      <c r="J114" s="37"/>
      <c r="K114" s="38"/>
      <c r="L114" s="38"/>
      <c r="M114" s="38"/>
      <c r="N114" s="38"/>
    </row>
    <row r="116" spans="1:16" ht="20" x14ac:dyDescent="0.25">
      <c r="A116" s="853" t="str">
        <f>+D18</f>
        <v xml:space="preserve">PORCENTAJE (%) DE TRÁMITES RESUELTOS EN UN TIEMPO IGUAL O INFERIOR A LO REGLAMENTADO EN EL SGC.
*LICENCIAS AMBIENTALES (115 DÍAS HÁBILES).
*CONCESIONES DE AGUAS SUBTERRÁNEAS Y SUPERFICIALES (55 DÍAS HÁBILES).
*PERMISOS DE VERTIMIENTOS (55 DÍAS HÁBILES). 
*APROVECHAMIENTOS FORESTALES (55 DÍAS HÁBILES).
</v>
      </c>
      <c r="B116" s="854"/>
      <c r="C116" s="854"/>
      <c r="D116" s="854"/>
      <c r="E116" s="854"/>
      <c r="F116" s="854"/>
      <c r="G116" s="854"/>
      <c r="H116" s="854"/>
      <c r="I116" s="854"/>
      <c r="J116" s="854"/>
      <c r="K116" s="854"/>
      <c r="L116" s="854"/>
      <c r="M116" s="854"/>
      <c r="N116" s="854"/>
      <c r="O116" s="855"/>
    </row>
    <row r="118" spans="1:16" ht="41.25" customHeight="1" x14ac:dyDescent="0.25">
      <c r="A118" s="26"/>
      <c r="G118" s="39">
        <v>2010</v>
      </c>
      <c r="H118" s="39">
        <v>2011</v>
      </c>
      <c r="I118" s="39">
        <v>2012</v>
      </c>
      <c r="J118" s="39">
        <v>2013</v>
      </c>
      <c r="K118" s="39">
        <v>2014</v>
      </c>
      <c r="L118" s="39">
        <v>2015</v>
      </c>
    </row>
    <row r="119" spans="1:16" ht="36" customHeight="1" x14ac:dyDescent="0.25">
      <c r="A119" s="866" t="s">
        <v>203</v>
      </c>
      <c r="B119" s="867"/>
      <c r="C119" s="867"/>
      <c r="D119" s="867"/>
      <c r="E119" s="867"/>
      <c r="F119" s="867"/>
      <c r="G119" s="27">
        <v>1</v>
      </c>
      <c r="H119" s="27">
        <v>0.6</v>
      </c>
      <c r="I119" s="27">
        <v>0.5</v>
      </c>
      <c r="J119" s="152">
        <v>0.66700000000000004</v>
      </c>
      <c r="K119" s="27">
        <v>1</v>
      </c>
      <c r="L119" s="27">
        <f>+L152</f>
        <v>1</v>
      </c>
    </row>
    <row r="120" spans="1:16" ht="36" customHeight="1" x14ac:dyDescent="0.25">
      <c r="A120" s="866" t="s">
        <v>205</v>
      </c>
      <c r="B120" s="867"/>
      <c r="C120" s="867"/>
      <c r="D120" s="867"/>
      <c r="E120" s="867"/>
      <c r="F120" s="867"/>
      <c r="G120" s="27">
        <v>0.5</v>
      </c>
      <c r="H120" s="152">
        <v>0.73299999999999998</v>
      </c>
      <c r="I120" s="152">
        <v>0.60499999999999998</v>
      </c>
      <c r="J120" s="152">
        <v>0.56499999999999995</v>
      </c>
      <c r="K120" s="27">
        <v>0.89</v>
      </c>
      <c r="L120" s="27">
        <f>+L182</f>
        <v>0.76470588235294112</v>
      </c>
    </row>
    <row r="121" spans="1:16" ht="36" customHeight="1" x14ac:dyDescent="0.25">
      <c r="A121" s="866" t="s">
        <v>206</v>
      </c>
      <c r="B121" s="867"/>
      <c r="C121" s="867"/>
      <c r="D121" s="867"/>
      <c r="E121" s="867"/>
      <c r="F121" s="867"/>
      <c r="G121" s="152">
        <v>0.94399999999999995</v>
      </c>
      <c r="H121" s="152">
        <v>0.90900000000000003</v>
      </c>
      <c r="I121" s="27">
        <v>0.4</v>
      </c>
      <c r="J121" s="152">
        <v>0.375</v>
      </c>
      <c r="K121" s="27">
        <v>0.64</v>
      </c>
      <c r="L121" s="27">
        <f>+L187</f>
        <v>0.36363636363636365</v>
      </c>
    </row>
    <row r="122" spans="1:16" ht="36" customHeight="1" x14ac:dyDescent="0.25">
      <c r="A122" s="866" t="s">
        <v>550</v>
      </c>
      <c r="B122" s="867"/>
      <c r="C122" s="867"/>
      <c r="D122" s="867"/>
      <c r="E122" s="867"/>
      <c r="F122" s="867"/>
      <c r="G122" s="27">
        <v>0.8</v>
      </c>
      <c r="H122" s="152">
        <v>0.81100000000000005</v>
      </c>
      <c r="I122" s="152">
        <v>0.60699999999999998</v>
      </c>
      <c r="J122" s="152">
        <v>0.66700000000000004</v>
      </c>
      <c r="K122" s="27">
        <v>0.82</v>
      </c>
      <c r="L122" s="27">
        <f>+L192</f>
        <v>0.8</v>
      </c>
    </row>
    <row r="123" spans="1:16" ht="36" customHeight="1" x14ac:dyDescent="0.25">
      <c r="A123" s="866" t="s">
        <v>198</v>
      </c>
      <c r="B123" s="867"/>
      <c r="C123" s="867"/>
      <c r="D123" s="867"/>
      <c r="E123" s="867"/>
      <c r="F123" s="867"/>
      <c r="G123" s="149">
        <v>0.76500000000000001</v>
      </c>
      <c r="H123" s="149">
        <v>0.79400000000000004</v>
      </c>
      <c r="I123" s="27">
        <v>0.57799999999999996</v>
      </c>
      <c r="J123" s="149">
        <v>0.61399999999999999</v>
      </c>
      <c r="K123" s="149">
        <v>0.83</v>
      </c>
      <c r="L123" s="149">
        <f>+L197</f>
        <v>0.73913043478260865</v>
      </c>
    </row>
    <row r="124" spans="1:16" ht="36" customHeight="1" x14ac:dyDescent="0.25">
      <c r="A124" s="866" t="s">
        <v>76</v>
      </c>
      <c r="B124" s="867"/>
      <c r="C124" s="867"/>
      <c r="D124" s="867"/>
      <c r="E124" s="867"/>
      <c r="F124" s="867"/>
      <c r="G124" s="27">
        <v>0.8</v>
      </c>
      <c r="H124" s="27">
        <v>0.8</v>
      </c>
      <c r="I124" s="27">
        <v>0.8</v>
      </c>
      <c r="J124" s="27">
        <v>0.8</v>
      </c>
      <c r="K124" s="27">
        <v>0.8</v>
      </c>
      <c r="L124" s="27">
        <v>0.8</v>
      </c>
    </row>
    <row r="125" spans="1:16" x14ac:dyDescent="0.25">
      <c r="A125" s="5"/>
    </row>
    <row r="126" spans="1:16" ht="17.5" x14ac:dyDescent="0.25">
      <c r="A126" s="5"/>
      <c r="B126" s="28"/>
      <c r="C126" s="28"/>
      <c r="D126" s="28"/>
      <c r="G126" s="858" t="s">
        <v>77</v>
      </c>
      <c r="H126" s="858" t="s">
        <v>199</v>
      </c>
      <c r="I126" s="858"/>
      <c r="J126" s="858" t="s">
        <v>78</v>
      </c>
      <c r="K126" s="858"/>
      <c r="L126" s="858"/>
      <c r="M126" s="858" t="s">
        <v>79</v>
      </c>
      <c r="N126" s="858"/>
      <c r="O126" s="858"/>
    </row>
    <row r="127" spans="1:16" ht="122.5" x14ac:dyDescent="0.25">
      <c r="A127" s="5"/>
      <c r="G127" s="858"/>
      <c r="H127" s="858"/>
      <c r="I127" s="858"/>
      <c r="J127" s="59" t="s">
        <v>200</v>
      </c>
      <c r="K127" s="59" t="s">
        <v>201</v>
      </c>
      <c r="L127" s="59" t="s">
        <v>202</v>
      </c>
      <c r="M127" s="858"/>
      <c r="N127" s="858"/>
      <c r="O127" s="858"/>
    </row>
    <row r="128" spans="1:16" ht="18" customHeight="1" x14ac:dyDescent="0.3">
      <c r="B128" s="29"/>
      <c r="C128" s="30"/>
      <c r="D128" s="30"/>
      <c r="G128" s="859">
        <v>2010</v>
      </c>
      <c r="H128" s="1013" t="s">
        <v>203</v>
      </c>
      <c r="I128" s="1013"/>
      <c r="J128" s="88">
        <v>3</v>
      </c>
      <c r="K128" s="88">
        <v>3</v>
      </c>
      <c r="L128" s="90">
        <f t="shared" ref="L128:L167" si="8">+J128/K128</f>
        <v>1</v>
      </c>
      <c r="M128" s="873" t="s">
        <v>204</v>
      </c>
      <c r="N128" s="873"/>
      <c r="O128" s="873"/>
    </row>
    <row r="129" spans="2:15" ht="18" customHeight="1" x14ac:dyDescent="0.3">
      <c r="B129" s="29"/>
      <c r="C129" s="30"/>
      <c r="D129" s="30"/>
      <c r="G129" s="859"/>
      <c r="H129" s="1013" t="s">
        <v>205</v>
      </c>
      <c r="I129" s="1013"/>
      <c r="J129" s="88">
        <v>10</v>
      </c>
      <c r="K129" s="88">
        <v>20</v>
      </c>
      <c r="L129" s="90">
        <f t="shared" si="8"/>
        <v>0.5</v>
      </c>
      <c r="M129" s="873"/>
      <c r="N129" s="873"/>
      <c r="O129" s="873"/>
    </row>
    <row r="130" spans="2:15" ht="18" customHeight="1" x14ac:dyDescent="0.3">
      <c r="B130" s="29"/>
      <c r="C130" s="30"/>
      <c r="D130" s="30"/>
      <c r="G130" s="859"/>
      <c r="H130" s="1013" t="s">
        <v>206</v>
      </c>
      <c r="I130" s="1013"/>
      <c r="J130" s="88">
        <v>17</v>
      </c>
      <c r="K130" s="88">
        <v>18</v>
      </c>
      <c r="L130" s="90">
        <f t="shared" si="8"/>
        <v>0.94444444444444442</v>
      </c>
      <c r="M130" s="873"/>
      <c r="N130" s="873"/>
      <c r="O130" s="873"/>
    </row>
    <row r="131" spans="2:15" ht="18" customHeight="1" x14ac:dyDescent="0.3">
      <c r="B131" s="29"/>
      <c r="C131" s="30"/>
      <c r="D131" s="30"/>
      <c r="G131" s="859"/>
      <c r="H131" s="1013" t="s">
        <v>207</v>
      </c>
      <c r="I131" s="1013"/>
      <c r="J131" s="88">
        <v>32</v>
      </c>
      <c r="K131" s="88">
        <v>40</v>
      </c>
      <c r="L131" s="90">
        <f t="shared" si="8"/>
        <v>0.8</v>
      </c>
      <c r="M131" s="873"/>
      <c r="N131" s="873"/>
      <c r="O131" s="873"/>
    </row>
    <row r="132" spans="2:15" ht="18" customHeight="1" x14ac:dyDescent="0.3">
      <c r="B132" s="29"/>
      <c r="C132" s="30"/>
      <c r="D132" s="30"/>
      <c r="G132" s="859"/>
      <c r="H132" s="933" t="s">
        <v>81</v>
      </c>
      <c r="I132" s="933"/>
      <c r="J132" s="89">
        <f>SUM(J128:J131)</f>
        <v>62</v>
      </c>
      <c r="K132" s="89">
        <f>SUM(K128:K131)</f>
        <v>81</v>
      </c>
      <c r="L132" s="91">
        <f t="shared" si="8"/>
        <v>0.76543209876543206</v>
      </c>
      <c r="M132" s="873"/>
      <c r="N132" s="873"/>
      <c r="O132" s="873"/>
    </row>
    <row r="133" spans="2:15" ht="18" customHeight="1" x14ac:dyDescent="0.3">
      <c r="B133" s="29"/>
      <c r="C133" s="30"/>
      <c r="D133" s="30"/>
      <c r="G133" s="859">
        <v>2011</v>
      </c>
      <c r="H133" s="1013" t="s">
        <v>203</v>
      </c>
      <c r="I133" s="1013"/>
      <c r="J133" s="88">
        <v>3</v>
      </c>
      <c r="K133" s="88">
        <v>5</v>
      </c>
      <c r="L133" s="90">
        <f t="shared" si="8"/>
        <v>0.6</v>
      </c>
      <c r="M133" s="873" t="s">
        <v>208</v>
      </c>
      <c r="N133" s="873"/>
      <c r="O133" s="873"/>
    </row>
    <row r="134" spans="2:15" ht="18" customHeight="1" x14ac:dyDescent="0.3">
      <c r="B134" s="29"/>
      <c r="C134" s="30"/>
      <c r="D134" s="30"/>
      <c r="G134" s="859"/>
      <c r="H134" s="1013" t="s">
        <v>209</v>
      </c>
      <c r="I134" s="1013"/>
      <c r="J134" s="88">
        <v>11</v>
      </c>
      <c r="K134" s="88">
        <v>15</v>
      </c>
      <c r="L134" s="90">
        <f t="shared" si="8"/>
        <v>0.73333333333333328</v>
      </c>
      <c r="M134" s="873"/>
      <c r="N134" s="873"/>
      <c r="O134" s="873"/>
    </row>
    <row r="135" spans="2:15" ht="18" customHeight="1" x14ac:dyDescent="0.3">
      <c r="B135" s="29"/>
      <c r="C135" s="30"/>
      <c r="D135" s="30"/>
      <c r="G135" s="859"/>
      <c r="H135" s="1013" t="s">
        <v>206</v>
      </c>
      <c r="I135" s="1013"/>
      <c r="J135" s="88">
        <v>10</v>
      </c>
      <c r="K135" s="88">
        <v>11</v>
      </c>
      <c r="L135" s="90">
        <f t="shared" si="8"/>
        <v>0.90909090909090906</v>
      </c>
      <c r="M135" s="873"/>
      <c r="N135" s="873"/>
      <c r="O135" s="873"/>
    </row>
    <row r="136" spans="2:15" ht="18" customHeight="1" x14ac:dyDescent="0.3">
      <c r="B136" s="29"/>
      <c r="C136" s="30"/>
      <c r="D136" s="30"/>
      <c r="G136" s="859"/>
      <c r="H136" s="1013" t="s">
        <v>207</v>
      </c>
      <c r="I136" s="1013"/>
      <c r="J136" s="88">
        <v>30</v>
      </c>
      <c r="K136" s="88">
        <v>37</v>
      </c>
      <c r="L136" s="90">
        <f t="shared" si="8"/>
        <v>0.81081081081081086</v>
      </c>
      <c r="M136" s="873"/>
      <c r="N136" s="873"/>
      <c r="O136" s="873"/>
    </row>
    <row r="137" spans="2:15" ht="18" customHeight="1" x14ac:dyDescent="0.3">
      <c r="B137" s="29"/>
      <c r="C137" s="30"/>
      <c r="D137" s="30"/>
      <c r="G137" s="859"/>
      <c r="H137" s="933" t="s">
        <v>81</v>
      </c>
      <c r="I137" s="933"/>
      <c r="J137" s="89">
        <f>SUM(J133:J136)</f>
        <v>54</v>
      </c>
      <c r="K137" s="89">
        <f>SUM(K133:K136)</f>
        <v>68</v>
      </c>
      <c r="L137" s="91">
        <f t="shared" si="8"/>
        <v>0.79411764705882348</v>
      </c>
      <c r="M137" s="873"/>
      <c r="N137" s="873"/>
      <c r="O137" s="873"/>
    </row>
    <row r="138" spans="2:15" ht="18" customHeight="1" x14ac:dyDescent="0.3">
      <c r="B138" s="29"/>
      <c r="C138" s="30"/>
      <c r="D138" s="30"/>
      <c r="G138" s="859">
        <v>2012</v>
      </c>
      <c r="H138" s="1013" t="s">
        <v>203</v>
      </c>
      <c r="I138" s="1013"/>
      <c r="J138" s="88">
        <v>1</v>
      </c>
      <c r="K138" s="88">
        <v>2</v>
      </c>
      <c r="L138" s="90">
        <f t="shared" si="8"/>
        <v>0.5</v>
      </c>
      <c r="M138" s="873" t="s">
        <v>210</v>
      </c>
      <c r="N138" s="873"/>
      <c r="O138" s="873"/>
    </row>
    <row r="139" spans="2:15" ht="18" customHeight="1" x14ac:dyDescent="0.3">
      <c r="B139" s="29"/>
      <c r="C139" s="30"/>
      <c r="D139" s="30"/>
      <c r="G139" s="859"/>
      <c r="H139" s="1013" t="s">
        <v>205</v>
      </c>
      <c r="I139" s="1013"/>
      <c r="J139" s="88">
        <v>23</v>
      </c>
      <c r="K139" s="88">
        <v>38</v>
      </c>
      <c r="L139" s="90">
        <f t="shared" si="8"/>
        <v>0.60526315789473684</v>
      </c>
      <c r="M139" s="873"/>
      <c r="N139" s="873"/>
      <c r="O139" s="873"/>
    </row>
    <row r="140" spans="2:15" ht="18" customHeight="1" x14ac:dyDescent="0.3">
      <c r="B140" s="29"/>
      <c r="C140" s="30"/>
      <c r="D140" s="30"/>
      <c r="G140" s="859"/>
      <c r="H140" s="1013" t="s">
        <v>206</v>
      </c>
      <c r="I140" s="1013"/>
      <c r="J140" s="88">
        <v>6</v>
      </c>
      <c r="K140" s="88">
        <v>15</v>
      </c>
      <c r="L140" s="90">
        <f t="shared" si="8"/>
        <v>0.4</v>
      </c>
      <c r="M140" s="873"/>
      <c r="N140" s="873"/>
      <c r="O140" s="873"/>
    </row>
    <row r="141" spans="2:15" ht="18" customHeight="1" x14ac:dyDescent="0.3">
      <c r="B141" s="29"/>
      <c r="C141" s="30"/>
      <c r="D141" s="30"/>
      <c r="G141" s="859"/>
      <c r="H141" s="1013" t="s">
        <v>207</v>
      </c>
      <c r="I141" s="1013"/>
      <c r="J141" s="88">
        <v>37</v>
      </c>
      <c r="K141" s="88">
        <v>61</v>
      </c>
      <c r="L141" s="90">
        <f t="shared" si="8"/>
        <v>0.60655737704918034</v>
      </c>
      <c r="M141" s="873"/>
      <c r="N141" s="873"/>
      <c r="O141" s="873"/>
    </row>
    <row r="142" spans="2:15" ht="18" customHeight="1" x14ac:dyDescent="0.3">
      <c r="B142" s="29"/>
      <c r="C142" s="30"/>
      <c r="D142" s="30"/>
      <c r="G142" s="859"/>
      <c r="H142" s="933" t="s">
        <v>81</v>
      </c>
      <c r="I142" s="933"/>
      <c r="J142" s="89">
        <f>SUM(J138:J141)</f>
        <v>67</v>
      </c>
      <c r="K142" s="89">
        <f>SUM(K138:K141)</f>
        <v>116</v>
      </c>
      <c r="L142" s="92">
        <f t="shared" si="8"/>
        <v>0.57758620689655171</v>
      </c>
      <c r="M142" s="873"/>
      <c r="N142" s="873"/>
      <c r="O142" s="873"/>
    </row>
    <row r="143" spans="2:15" ht="33" customHeight="1" x14ac:dyDescent="0.3">
      <c r="B143" s="29"/>
      <c r="C143" s="30"/>
      <c r="D143" s="30"/>
      <c r="G143" s="859">
        <v>2013</v>
      </c>
      <c r="H143" s="1013" t="s">
        <v>203</v>
      </c>
      <c r="I143" s="1013"/>
      <c r="J143" s="88">
        <v>6</v>
      </c>
      <c r="K143" s="88">
        <v>9</v>
      </c>
      <c r="L143" s="90">
        <f t="shared" si="8"/>
        <v>0.66666666666666663</v>
      </c>
      <c r="M143" s="873" t="s">
        <v>211</v>
      </c>
      <c r="N143" s="873"/>
      <c r="O143" s="873"/>
    </row>
    <row r="144" spans="2:15" ht="50.25" customHeight="1" x14ac:dyDescent="0.3">
      <c r="B144" s="29"/>
      <c r="C144" s="30"/>
      <c r="D144" s="30"/>
      <c r="G144" s="859"/>
      <c r="H144" s="1013" t="s">
        <v>205</v>
      </c>
      <c r="I144" s="1013"/>
      <c r="J144" s="88">
        <v>26</v>
      </c>
      <c r="K144" s="88">
        <v>46</v>
      </c>
      <c r="L144" s="90">
        <f t="shared" si="8"/>
        <v>0.56521739130434778</v>
      </c>
      <c r="M144" s="873"/>
      <c r="N144" s="873"/>
      <c r="O144" s="873"/>
    </row>
    <row r="145" spans="2:15" ht="33" customHeight="1" x14ac:dyDescent="0.3">
      <c r="B145" s="29"/>
      <c r="C145" s="30"/>
      <c r="D145" s="30"/>
      <c r="G145" s="859"/>
      <c r="H145" s="1013" t="s">
        <v>206</v>
      </c>
      <c r="I145" s="1013"/>
      <c r="J145" s="88">
        <v>3</v>
      </c>
      <c r="K145" s="88">
        <v>8</v>
      </c>
      <c r="L145" s="90">
        <f t="shared" si="8"/>
        <v>0.375</v>
      </c>
      <c r="M145" s="873"/>
      <c r="N145" s="873"/>
      <c r="O145" s="873"/>
    </row>
    <row r="146" spans="2:15" ht="33" customHeight="1" x14ac:dyDescent="0.3">
      <c r="B146" s="29"/>
      <c r="C146" s="30"/>
      <c r="D146" s="30"/>
      <c r="G146" s="859"/>
      <c r="H146" s="1013" t="s">
        <v>207</v>
      </c>
      <c r="I146" s="1013"/>
      <c r="J146" s="88">
        <v>46</v>
      </c>
      <c r="K146" s="88">
        <v>69</v>
      </c>
      <c r="L146" s="90">
        <f t="shared" si="8"/>
        <v>0.66666666666666663</v>
      </c>
      <c r="M146" s="873"/>
      <c r="N146" s="873"/>
      <c r="O146" s="873"/>
    </row>
    <row r="147" spans="2:15" ht="33" customHeight="1" x14ac:dyDescent="0.3">
      <c r="B147" s="29"/>
      <c r="C147" s="30"/>
      <c r="D147" s="30"/>
      <c r="G147" s="859"/>
      <c r="H147" s="933" t="s">
        <v>81</v>
      </c>
      <c r="I147" s="933"/>
      <c r="J147" s="89">
        <f>SUM(J143:J146)</f>
        <v>81</v>
      </c>
      <c r="K147" s="89">
        <f>SUM(K143:K146)</f>
        <v>132</v>
      </c>
      <c r="L147" s="91">
        <f t="shared" si="8"/>
        <v>0.61363636363636365</v>
      </c>
      <c r="M147" s="873"/>
      <c r="N147" s="873"/>
      <c r="O147" s="873"/>
    </row>
    <row r="148" spans="2:15" ht="36.75" customHeight="1" x14ac:dyDescent="0.3">
      <c r="B148" s="29"/>
      <c r="C148" s="30"/>
      <c r="D148" s="30"/>
      <c r="G148" s="859">
        <v>2014</v>
      </c>
      <c r="H148" s="861" t="s">
        <v>203</v>
      </c>
      <c r="I148" s="45" t="s">
        <v>212</v>
      </c>
      <c r="J148" s="167">
        <v>2</v>
      </c>
      <c r="K148" s="167">
        <v>2</v>
      </c>
      <c r="L148" s="165">
        <f t="shared" si="8"/>
        <v>1</v>
      </c>
      <c r="M148" s="996" t="s">
        <v>668</v>
      </c>
      <c r="N148" s="996"/>
      <c r="O148" s="996"/>
    </row>
    <row r="149" spans="2:15" ht="36.75" customHeight="1" x14ac:dyDescent="0.3">
      <c r="B149" s="29"/>
      <c r="C149" s="30"/>
      <c r="D149" s="30"/>
      <c r="G149" s="859"/>
      <c r="H149" s="861"/>
      <c r="I149" s="45" t="s">
        <v>213</v>
      </c>
      <c r="J149" s="167">
        <v>4</v>
      </c>
      <c r="K149" s="167">
        <v>4</v>
      </c>
      <c r="L149" s="165">
        <f t="shared" si="8"/>
        <v>1</v>
      </c>
      <c r="M149" s="996"/>
      <c r="N149" s="996"/>
      <c r="O149" s="996"/>
    </row>
    <row r="150" spans="2:15" ht="36.75" customHeight="1" x14ac:dyDescent="0.3">
      <c r="B150" s="29"/>
      <c r="C150" s="30"/>
      <c r="D150" s="30"/>
      <c r="G150" s="859"/>
      <c r="H150" s="861"/>
      <c r="I150" s="45" t="s">
        <v>214</v>
      </c>
      <c r="J150" s="167">
        <v>3</v>
      </c>
      <c r="K150" s="167">
        <v>3</v>
      </c>
      <c r="L150" s="165">
        <f t="shared" si="8"/>
        <v>1</v>
      </c>
      <c r="M150" s="996"/>
      <c r="N150" s="996"/>
      <c r="O150" s="996"/>
    </row>
    <row r="151" spans="2:15" ht="36.75" customHeight="1" x14ac:dyDescent="0.3">
      <c r="B151" s="29"/>
      <c r="C151" s="30"/>
      <c r="D151" s="30"/>
      <c r="G151" s="859"/>
      <c r="H151" s="861"/>
      <c r="I151" s="45" t="s">
        <v>215</v>
      </c>
      <c r="J151" s="167"/>
      <c r="K151" s="167"/>
      <c r="L151" s="165" t="e">
        <f t="shared" si="8"/>
        <v>#DIV/0!</v>
      </c>
      <c r="M151" s="996"/>
      <c r="N151" s="996"/>
      <c r="O151" s="996"/>
    </row>
    <row r="152" spans="2:15" ht="36.75" customHeight="1" x14ac:dyDescent="0.3">
      <c r="B152" s="29"/>
      <c r="C152" s="30"/>
      <c r="D152" s="30"/>
      <c r="G152" s="859"/>
      <c r="H152" s="861"/>
      <c r="I152" s="35" t="s">
        <v>216</v>
      </c>
      <c r="J152" s="168">
        <f>SUM(J148:J151)</f>
        <v>9</v>
      </c>
      <c r="K152" s="168">
        <f>SUM(K148:K151)</f>
        <v>9</v>
      </c>
      <c r="L152" s="166">
        <f t="shared" si="8"/>
        <v>1</v>
      </c>
      <c r="M152" s="996"/>
      <c r="N152" s="996"/>
      <c r="O152" s="996"/>
    </row>
    <row r="153" spans="2:15" ht="36.75" customHeight="1" x14ac:dyDescent="0.3">
      <c r="B153" s="29"/>
      <c r="C153" s="30"/>
      <c r="D153" s="30"/>
      <c r="G153" s="859"/>
      <c r="H153" s="861" t="s">
        <v>209</v>
      </c>
      <c r="I153" s="45" t="s">
        <v>212</v>
      </c>
      <c r="J153" s="167">
        <f>1+3</f>
        <v>4</v>
      </c>
      <c r="K153" s="167">
        <f>2+3</f>
        <v>5</v>
      </c>
      <c r="L153" s="165">
        <f t="shared" si="8"/>
        <v>0.8</v>
      </c>
      <c r="M153" s="996"/>
      <c r="N153" s="996"/>
      <c r="O153" s="996"/>
    </row>
    <row r="154" spans="2:15" ht="36.75" customHeight="1" x14ac:dyDescent="0.3">
      <c r="B154" s="29"/>
      <c r="C154" s="30"/>
      <c r="D154" s="30"/>
      <c r="G154" s="859"/>
      <c r="H154" s="861"/>
      <c r="I154" s="45" t="s">
        <v>213</v>
      </c>
      <c r="J154" s="167">
        <f>3+4</f>
        <v>7</v>
      </c>
      <c r="K154" s="167">
        <f>3+4</f>
        <v>7</v>
      </c>
      <c r="L154" s="165">
        <f t="shared" si="8"/>
        <v>1</v>
      </c>
      <c r="M154" s="996"/>
      <c r="N154" s="996"/>
      <c r="O154" s="996"/>
    </row>
    <row r="155" spans="2:15" ht="36.75" customHeight="1" x14ac:dyDescent="0.3">
      <c r="B155" s="29"/>
      <c r="C155" s="30"/>
      <c r="D155" s="30"/>
      <c r="G155" s="859"/>
      <c r="H155" s="861"/>
      <c r="I155" s="45" t="s">
        <v>214</v>
      </c>
      <c r="J155" s="167">
        <f>6+7</f>
        <v>13</v>
      </c>
      <c r="K155" s="167">
        <f>7+8</f>
        <v>15</v>
      </c>
      <c r="L155" s="165">
        <f t="shared" si="8"/>
        <v>0.8666666666666667</v>
      </c>
      <c r="M155" s="996"/>
      <c r="N155" s="996"/>
      <c r="O155" s="996"/>
    </row>
    <row r="156" spans="2:15" ht="36.75" customHeight="1" x14ac:dyDescent="0.3">
      <c r="B156" s="29"/>
      <c r="C156" s="30"/>
      <c r="D156" s="30"/>
      <c r="G156" s="859"/>
      <c r="H156" s="861"/>
      <c r="I156" s="45" t="s">
        <v>215</v>
      </c>
      <c r="J156" s="167"/>
      <c r="K156" s="167"/>
      <c r="L156" s="165" t="e">
        <f t="shared" si="8"/>
        <v>#DIV/0!</v>
      </c>
      <c r="M156" s="996"/>
      <c r="N156" s="996"/>
      <c r="O156" s="996"/>
    </row>
    <row r="157" spans="2:15" ht="36.75" customHeight="1" x14ac:dyDescent="0.3">
      <c r="B157" s="29"/>
      <c r="C157" s="30"/>
      <c r="D157" s="30"/>
      <c r="G157" s="859"/>
      <c r="H157" s="861"/>
      <c r="I157" s="35" t="s">
        <v>216</v>
      </c>
      <c r="J157" s="168">
        <f>SUM(J153:J156)</f>
        <v>24</v>
      </c>
      <c r="K157" s="168">
        <f>SUM(K153:K156)</f>
        <v>27</v>
      </c>
      <c r="L157" s="166">
        <f t="shared" si="8"/>
        <v>0.88888888888888884</v>
      </c>
      <c r="M157" s="996"/>
      <c r="N157" s="996"/>
      <c r="O157" s="996"/>
    </row>
    <row r="158" spans="2:15" ht="36.75" customHeight="1" x14ac:dyDescent="0.3">
      <c r="B158" s="29"/>
      <c r="C158" s="30"/>
      <c r="D158" s="30"/>
      <c r="G158" s="859"/>
      <c r="H158" s="861" t="s">
        <v>206</v>
      </c>
      <c r="I158" s="45" t="s">
        <v>212</v>
      </c>
      <c r="J158" s="167">
        <v>2</v>
      </c>
      <c r="K158" s="167">
        <v>5</v>
      </c>
      <c r="L158" s="165">
        <f t="shared" si="8"/>
        <v>0.4</v>
      </c>
      <c r="M158" s="996"/>
      <c r="N158" s="996"/>
      <c r="O158" s="996"/>
    </row>
    <row r="159" spans="2:15" ht="36.75" customHeight="1" x14ac:dyDescent="0.3">
      <c r="B159" s="29"/>
      <c r="C159" s="30"/>
      <c r="D159" s="30"/>
      <c r="G159" s="859"/>
      <c r="H159" s="861"/>
      <c r="I159" s="45" t="s">
        <v>213</v>
      </c>
      <c r="J159" s="167">
        <v>4</v>
      </c>
      <c r="K159" s="167">
        <v>5</v>
      </c>
      <c r="L159" s="165">
        <f t="shared" si="8"/>
        <v>0.8</v>
      </c>
      <c r="M159" s="996"/>
      <c r="N159" s="996"/>
      <c r="O159" s="996"/>
    </row>
    <row r="160" spans="2:15" ht="36.75" customHeight="1" x14ac:dyDescent="0.3">
      <c r="B160" s="29"/>
      <c r="C160" s="30"/>
      <c r="D160" s="30"/>
      <c r="G160" s="859"/>
      <c r="H160" s="861"/>
      <c r="I160" s="45" t="s">
        <v>214</v>
      </c>
      <c r="J160" s="167">
        <v>3</v>
      </c>
      <c r="K160" s="167">
        <v>4</v>
      </c>
      <c r="L160" s="165">
        <f t="shared" si="8"/>
        <v>0.75</v>
      </c>
      <c r="M160" s="996"/>
      <c r="N160" s="996"/>
      <c r="O160" s="996"/>
    </row>
    <row r="161" spans="2:15" ht="36.75" customHeight="1" x14ac:dyDescent="0.3">
      <c r="B161" s="29"/>
      <c r="C161" s="30"/>
      <c r="D161" s="30"/>
      <c r="G161" s="859"/>
      <c r="H161" s="861"/>
      <c r="I161" s="45" t="s">
        <v>215</v>
      </c>
      <c r="J161" s="167"/>
      <c r="K161" s="167"/>
      <c r="L161" s="165" t="e">
        <f t="shared" si="8"/>
        <v>#DIV/0!</v>
      </c>
      <c r="M161" s="996"/>
      <c r="N161" s="996"/>
      <c r="O161" s="996"/>
    </row>
    <row r="162" spans="2:15" ht="36.75" customHeight="1" x14ac:dyDescent="0.3">
      <c r="B162" s="29"/>
      <c r="C162" s="30"/>
      <c r="D162" s="30"/>
      <c r="G162" s="859"/>
      <c r="H162" s="861"/>
      <c r="I162" s="35" t="s">
        <v>216</v>
      </c>
      <c r="J162" s="168">
        <f>SUM(J158:J161)</f>
        <v>9</v>
      </c>
      <c r="K162" s="168">
        <f>SUM(K158:K161)</f>
        <v>14</v>
      </c>
      <c r="L162" s="166">
        <f t="shared" si="8"/>
        <v>0.6428571428571429</v>
      </c>
      <c r="M162" s="996"/>
      <c r="N162" s="996"/>
      <c r="O162" s="996"/>
    </row>
    <row r="163" spans="2:15" ht="36.75" customHeight="1" x14ac:dyDescent="0.3">
      <c r="B163" s="29"/>
      <c r="C163" s="30"/>
      <c r="D163" s="30"/>
      <c r="G163" s="859"/>
      <c r="H163" s="861" t="s">
        <v>207</v>
      </c>
      <c r="I163" s="45" t="s">
        <v>212</v>
      </c>
      <c r="J163" s="167">
        <v>9</v>
      </c>
      <c r="K163" s="167">
        <v>12</v>
      </c>
      <c r="L163" s="165">
        <f t="shared" si="8"/>
        <v>0.75</v>
      </c>
      <c r="M163" s="996"/>
      <c r="N163" s="996"/>
      <c r="O163" s="996"/>
    </row>
    <row r="164" spans="2:15" ht="36.75" customHeight="1" x14ac:dyDescent="0.3">
      <c r="B164" s="29"/>
      <c r="C164" s="30"/>
      <c r="D164" s="30"/>
      <c r="G164" s="859"/>
      <c r="H164" s="861"/>
      <c r="I164" s="45" t="s">
        <v>213</v>
      </c>
      <c r="J164" s="167">
        <v>14</v>
      </c>
      <c r="K164" s="167">
        <v>17</v>
      </c>
      <c r="L164" s="165">
        <f t="shared" si="8"/>
        <v>0.82352941176470584</v>
      </c>
      <c r="M164" s="996"/>
      <c r="N164" s="996"/>
      <c r="O164" s="996"/>
    </row>
    <row r="165" spans="2:15" ht="36.75" customHeight="1" x14ac:dyDescent="0.3">
      <c r="B165" s="29"/>
      <c r="C165" s="30"/>
      <c r="D165" s="30"/>
      <c r="G165" s="859"/>
      <c r="H165" s="861"/>
      <c r="I165" s="45" t="s">
        <v>214</v>
      </c>
      <c r="J165" s="167">
        <v>9</v>
      </c>
      <c r="K165" s="167">
        <v>10</v>
      </c>
      <c r="L165" s="165">
        <f t="shared" si="8"/>
        <v>0.9</v>
      </c>
      <c r="M165" s="996"/>
      <c r="N165" s="996"/>
      <c r="O165" s="996"/>
    </row>
    <row r="166" spans="2:15" ht="36.75" customHeight="1" x14ac:dyDescent="0.3">
      <c r="B166" s="29"/>
      <c r="C166" s="30"/>
      <c r="D166" s="30"/>
      <c r="G166" s="859"/>
      <c r="H166" s="861"/>
      <c r="I166" s="45" t="s">
        <v>215</v>
      </c>
      <c r="J166" s="167"/>
      <c r="K166" s="167"/>
      <c r="L166" s="165" t="e">
        <f t="shared" si="8"/>
        <v>#DIV/0!</v>
      </c>
      <c r="M166" s="996"/>
      <c r="N166" s="996"/>
      <c r="O166" s="996"/>
    </row>
    <row r="167" spans="2:15" ht="36.75" customHeight="1" x14ac:dyDescent="0.3">
      <c r="B167" s="29"/>
      <c r="C167" s="30"/>
      <c r="D167" s="30"/>
      <c r="G167" s="859"/>
      <c r="H167" s="861"/>
      <c r="I167" s="35" t="s">
        <v>216</v>
      </c>
      <c r="J167" s="168">
        <f>SUM(J163:J166)</f>
        <v>32</v>
      </c>
      <c r="K167" s="168">
        <f>SUM(K163:K166)</f>
        <v>39</v>
      </c>
      <c r="L167" s="166">
        <f t="shared" si="8"/>
        <v>0.82051282051282048</v>
      </c>
      <c r="M167" s="996"/>
      <c r="N167" s="996"/>
      <c r="O167" s="996"/>
    </row>
    <row r="168" spans="2:15" ht="36.75" customHeight="1" x14ac:dyDescent="0.3">
      <c r="B168" s="29"/>
      <c r="C168" s="30"/>
      <c r="D168" s="30"/>
      <c r="G168" s="859"/>
      <c r="H168" s="933" t="s">
        <v>81</v>
      </c>
      <c r="I168" s="45" t="s">
        <v>212</v>
      </c>
      <c r="J168" s="167">
        <f t="shared" ref="J168:K171" si="9">+J148+J153+J158+J163</f>
        <v>17</v>
      </c>
      <c r="K168" s="167">
        <f t="shared" si="9"/>
        <v>24</v>
      </c>
      <c r="L168" s="165">
        <f>+J168/K168</f>
        <v>0.70833333333333337</v>
      </c>
      <c r="M168" s="996"/>
      <c r="N168" s="996"/>
      <c r="O168" s="996"/>
    </row>
    <row r="169" spans="2:15" ht="36.75" customHeight="1" x14ac:dyDescent="0.3">
      <c r="B169" s="29"/>
      <c r="C169" s="30"/>
      <c r="D169" s="30"/>
      <c r="G169" s="859"/>
      <c r="H169" s="933"/>
      <c r="I169" s="45" t="s">
        <v>213</v>
      </c>
      <c r="J169" s="167">
        <f t="shared" si="9"/>
        <v>29</v>
      </c>
      <c r="K169" s="167">
        <f t="shared" si="9"/>
        <v>33</v>
      </c>
      <c r="L169" s="165">
        <f>+J169/K169</f>
        <v>0.87878787878787878</v>
      </c>
      <c r="M169" s="996"/>
      <c r="N169" s="996"/>
      <c r="O169" s="996"/>
    </row>
    <row r="170" spans="2:15" ht="36.75" customHeight="1" x14ac:dyDescent="0.3">
      <c r="B170" s="29"/>
      <c r="C170" s="30"/>
      <c r="D170" s="30"/>
      <c r="G170" s="859"/>
      <c r="H170" s="933"/>
      <c r="I170" s="45" t="s">
        <v>214</v>
      </c>
      <c r="J170" s="167">
        <f t="shared" si="9"/>
        <v>28</v>
      </c>
      <c r="K170" s="167">
        <f t="shared" si="9"/>
        <v>32</v>
      </c>
      <c r="L170" s="165">
        <f>+J170/K170</f>
        <v>0.875</v>
      </c>
      <c r="M170" s="996"/>
      <c r="N170" s="996"/>
      <c r="O170" s="996"/>
    </row>
    <row r="171" spans="2:15" ht="36.75" customHeight="1" x14ac:dyDescent="0.3">
      <c r="B171" s="29"/>
      <c r="C171" s="30"/>
      <c r="D171" s="30"/>
      <c r="G171" s="859"/>
      <c r="H171" s="933"/>
      <c r="I171" s="45" t="s">
        <v>215</v>
      </c>
      <c r="J171" s="167">
        <f t="shared" si="9"/>
        <v>0</v>
      </c>
      <c r="K171" s="167">
        <f t="shared" si="9"/>
        <v>0</v>
      </c>
      <c r="L171" s="165" t="e">
        <f>+J171/K171</f>
        <v>#DIV/0!</v>
      </c>
      <c r="M171" s="996"/>
      <c r="N171" s="996"/>
      <c r="O171" s="996"/>
    </row>
    <row r="172" spans="2:15" ht="36.75" customHeight="1" x14ac:dyDescent="0.3">
      <c r="B172" s="29"/>
      <c r="C172" s="30"/>
      <c r="D172" s="30"/>
      <c r="G172" s="859"/>
      <c r="H172" s="933"/>
      <c r="I172" s="35" t="s">
        <v>81</v>
      </c>
      <c r="J172" s="168">
        <f>SUM(J168:J171)</f>
        <v>74</v>
      </c>
      <c r="K172" s="168">
        <f>SUM(K168:K171)</f>
        <v>89</v>
      </c>
      <c r="L172" s="166">
        <f>+J172/K172</f>
        <v>0.8314606741573034</v>
      </c>
      <c r="M172" s="996"/>
      <c r="N172" s="996"/>
      <c r="O172" s="996"/>
    </row>
    <row r="173" spans="2:15" ht="36.75" customHeight="1" x14ac:dyDescent="0.3">
      <c r="B173" s="29"/>
      <c r="C173" s="30"/>
      <c r="D173" s="30"/>
      <c r="G173" s="859">
        <v>2015</v>
      </c>
      <c r="H173" s="861" t="s">
        <v>203</v>
      </c>
      <c r="I173" s="45" t="s">
        <v>212</v>
      </c>
      <c r="J173" s="167">
        <v>0</v>
      </c>
      <c r="K173" s="167">
        <v>0</v>
      </c>
      <c r="L173" s="165" t="e">
        <f t="shared" ref="L173:L192" si="10">+J173/K173</f>
        <v>#DIV/0!</v>
      </c>
      <c r="M173" s="996" t="s">
        <v>793</v>
      </c>
      <c r="N173" s="996"/>
      <c r="O173" s="996"/>
    </row>
    <row r="174" spans="2:15" ht="36.75" customHeight="1" x14ac:dyDescent="0.3">
      <c r="B174" s="29"/>
      <c r="C174" s="30"/>
      <c r="D174" s="30"/>
      <c r="G174" s="859"/>
      <c r="H174" s="861"/>
      <c r="I174" s="45" t="s">
        <v>213</v>
      </c>
      <c r="J174" s="167">
        <v>2</v>
      </c>
      <c r="K174" s="167">
        <v>2</v>
      </c>
      <c r="L174" s="165">
        <f t="shared" si="10"/>
        <v>1</v>
      </c>
      <c r="M174" s="996"/>
      <c r="N174" s="996"/>
      <c r="O174" s="996"/>
    </row>
    <row r="175" spans="2:15" ht="36.75" customHeight="1" x14ac:dyDescent="0.3">
      <c r="B175" s="29"/>
      <c r="C175" s="30"/>
      <c r="D175" s="30"/>
      <c r="G175" s="859"/>
      <c r="H175" s="861"/>
      <c r="I175" s="45" t="s">
        <v>214</v>
      </c>
      <c r="J175" s="167">
        <v>0</v>
      </c>
      <c r="K175" s="167">
        <v>0</v>
      </c>
      <c r="L175" s="165" t="e">
        <f t="shared" si="10"/>
        <v>#DIV/0!</v>
      </c>
      <c r="M175" s="996"/>
      <c r="N175" s="996"/>
      <c r="O175" s="996"/>
    </row>
    <row r="176" spans="2:15" ht="36.75" customHeight="1" x14ac:dyDescent="0.3">
      <c r="B176" s="29"/>
      <c r="C176" s="30"/>
      <c r="D176" s="30"/>
      <c r="G176" s="859"/>
      <c r="H176" s="861"/>
      <c r="I176" s="45" t="s">
        <v>215</v>
      </c>
      <c r="J176" s="167"/>
      <c r="K176" s="167"/>
      <c r="L176" s="165" t="e">
        <f t="shared" si="10"/>
        <v>#DIV/0!</v>
      </c>
      <c r="M176" s="996"/>
      <c r="N176" s="996"/>
      <c r="O176" s="996"/>
    </row>
    <row r="177" spans="2:15" ht="36.75" customHeight="1" x14ac:dyDescent="0.3">
      <c r="B177" s="29"/>
      <c r="C177" s="30"/>
      <c r="D177" s="30"/>
      <c r="G177" s="859"/>
      <c r="H177" s="861"/>
      <c r="I177" s="35" t="s">
        <v>216</v>
      </c>
      <c r="J177" s="168">
        <f>SUM(J173:J176)</f>
        <v>2</v>
      </c>
      <c r="K177" s="168">
        <f>SUM(K173:K176)</f>
        <v>2</v>
      </c>
      <c r="L177" s="166">
        <f t="shared" si="10"/>
        <v>1</v>
      </c>
      <c r="M177" s="996"/>
      <c r="N177" s="996"/>
      <c r="O177" s="996"/>
    </row>
    <row r="178" spans="2:15" ht="36.75" customHeight="1" x14ac:dyDescent="0.3">
      <c r="B178" s="29"/>
      <c r="C178" s="30"/>
      <c r="D178" s="30"/>
      <c r="G178" s="859"/>
      <c r="H178" s="861" t="s">
        <v>209</v>
      </c>
      <c r="I178" s="45" t="s">
        <v>212</v>
      </c>
      <c r="J178" s="167">
        <v>6</v>
      </c>
      <c r="K178" s="167">
        <v>6</v>
      </c>
      <c r="L178" s="165">
        <f t="shared" si="10"/>
        <v>1</v>
      </c>
      <c r="M178" s="996"/>
      <c r="N178" s="996"/>
      <c r="O178" s="996"/>
    </row>
    <row r="179" spans="2:15" ht="36.75" customHeight="1" x14ac:dyDescent="0.3">
      <c r="B179" s="29"/>
      <c r="C179" s="30"/>
      <c r="D179" s="30"/>
      <c r="G179" s="859"/>
      <c r="H179" s="861"/>
      <c r="I179" s="45" t="s">
        <v>213</v>
      </c>
      <c r="J179" s="167">
        <v>14</v>
      </c>
      <c r="K179" s="167">
        <v>21</v>
      </c>
      <c r="L179" s="165">
        <f t="shared" si="10"/>
        <v>0.66666666666666663</v>
      </c>
      <c r="M179" s="996"/>
      <c r="N179" s="996"/>
      <c r="O179" s="996"/>
    </row>
    <row r="180" spans="2:15" ht="36.75" customHeight="1" x14ac:dyDescent="0.3">
      <c r="B180" s="29"/>
      <c r="C180" s="30"/>
      <c r="D180" s="30"/>
      <c r="G180" s="859"/>
      <c r="H180" s="861"/>
      <c r="I180" s="45" t="s">
        <v>214</v>
      </c>
      <c r="J180" s="167">
        <v>6</v>
      </c>
      <c r="K180" s="167">
        <v>7</v>
      </c>
      <c r="L180" s="165">
        <f t="shared" si="10"/>
        <v>0.8571428571428571</v>
      </c>
      <c r="M180" s="996"/>
      <c r="N180" s="996"/>
      <c r="O180" s="996"/>
    </row>
    <row r="181" spans="2:15" ht="36.75" customHeight="1" x14ac:dyDescent="0.3">
      <c r="B181" s="29"/>
      <c r="C181" s="30"/>
      <c r="D181" s="30"/>
      <c r="G181" s="859"/>
      <c r="H181" s="861"/>
      <c r="I181" s="45" t="s">
        <v>215</v>
      </c>
      <c r="J181" s="167"/>
      <c r="K181" s="167"/>
      <c r="L181" s="165" t="e">
        <f t="shared" si="10"/>
        <v>#DIV/0!</v>
      </c>
      <c r="M181" s="996"/>
      <c r="N181" s="996"/>
      <c r="O181" s="996"/>
    </row>
    <row r="182" spans="2:15" ht="36.75" customHeight="1" x14ac:dyDescent="0.3">
      <c r="B182" s="29"/>
      <c r="C182" s="30"/>
      <c r="D182" s="30"/>
      <c r="G182" s="859"/>
      <c r="H182" s="861"/>
      <c r="I182" s="35" t="s">
        <v>216</v>
      </c>
      <c r="J182" s="168">
        <f>SUM(J178:J181)</f>
        <v>26</v>
      </c>
      <c r="K182" s="168">
        <f>SUM(K178:K181)</f>
        <v>34</v>
      </c>
      <c r="L182" s="166">
        <f t="shared" si="10"/>
        <v>0.76470588235294112</v>
      </c>
      <c r="M182" s="996"/>
      <c r="N182" s="996"/>
      <c r="O182" s="996"/>
    </row>
    <row r="183" spans="2:15" ht="36.75" customHeight="1" x14ac:dyDescent="0.3">
      <c r="B183" s="29"/>
      <c r="C183" s="30"/>
      <c r="D183" s="30"/>
      <c r="G183" s="859"/>
      <c r="H183" s="861" t="s">
        <v>206</v>
      </c>
      <c r="I183" s="45" t="s">
        <v>212</v>
      </c>
      <c r="J183" s="167">
        <v>0</v>
      </c>
      <c r="K183" s="167">
        <v>2</v>
      </c>
      <c r="L183" s="165">
        <f t="shared" si="10"/>
        <v>0</v>
      </c>
      <c r="M183" s="996"/>
      <c r="N183" s="996"/>
      <c r="O183" s="996"/>
    </row>
    <row r="184" spans="2:15" ht="36.75" customHeight="1" x14ac:dyDescent="0.3">
      <c r="B184" s="29"/>
      <c r="C184" s="30"/>
      <c r="D184" s="30"/>
      <c r="G184" s="859"/>
      <c r="H184" s="861"/>
      <c r="I184" s="45" t="s">
        <v>213</v>
      </c>
      <c r="J184" s="167">
        <v>2</v>
      </c>
      <c r="K184" s="167">
        <v>6</v>
      </c>
      <c r="L184" s="165">
        <f t="shared" si="10"/>
        <v>0.33333333333333331</v>
      </c>
      <c r="M184" s="996"/>
      <c r="N184" s="996"/>
      <c r="O184" s="996"/>
    </row>
    <row r="185" spans="2:15" ht="36.75" customHeight="1" x14ac:dyDescent="0.3">
      <c r="B185" s="29"/>
      <c r="C185" s="30"/>
      <c r="D185" s="30"/>
      <c r="G185" s="859"/>
      <c r="H185" s="861"/>
      <c r="I185" s="45" t="s">
        <v>214</v>
      </c>
      <c r="J185" s="167">
        <v>2</v>
      </c>
      <c r="K185" s="167">
        <v>3</v>
      </c>
      <c r="L185" s="165">
        <f t="shared" si="10"/>
        <v>0.66666666666666663</v>
      </c>
      <c r="M185" s="996"/>
      <c r="N185" s="996"/>
      <c r="O185" s="996"/>
    </row>
    <row r="186" spans="2:15" ht="36.75" customHeight="1" x14ac:dyDescent="0.3">
      <c r="B186" s="29"/>
      <c r="C186" s="30"/>
      <c r="D186" s="30"/>
      <c r="G186" s="859"/>
      <c r="H186" s="861"/>
      <c r="I186" s="45" t="s">
        <v>215</v>
      </c>
      <c r="J186" s="167"/>
      <c r="K186" s="167"/>
      <c r="L186" s="165" t="e">
        <f t="shared" si="10"/>
        <v>#DIV/0!</v>
      </c>
      <c r="M186" s="996"/>
      <c r="N186" s="996"/>
      <c r="O186" s="996"/>
    </row>
    <row r="187" spans="2:15" ht="36.75" customHeight="1" x14ac:dyDescent="0.3">
      <c r="B187" s="29"/>
      <c r="C187" s="30"/>
      <c r="D187" s="30"/>
      <c r="G187" s="859"/>
      <c r="H187" s="861"/>
      <c r="I187" s="35" t="s">
        <v>216</v>
      </c>
      <c r="J187" s="168">
        <f>SUM(J183:J186)</f>
        <v>4</v>
      </c>
      <c r="K187" s="168">
        <f>SUM(K183:K186)</f>
        <v>11</v>
      </c>
      <c r="L187" s="166">
        <f t="shared" si="10"/>
        <v>0.36363636363636365</v>
      </c>
      <c r="M187" s="996"/>
      <c r="N187" s="996"/>
      <c r="O187" s="996"/>
    </row>
    <row r="188" spans="2:15" ht="36.75" customHeight="1" x14ac:dyDescent="0.3">
      <c r="B188" s="29"/>
      <c r="C188" s="30"/>
      <c r="D188" s="30"/>
      <c r="G188" s="859"/>
      <c r="H188" s="861" t="s">
        <v>207</v>
      </c>
      <c r="I188" s="45" t="s">
        <v>212</v>
      </c>
      <c r="J188" s="167">
        <v>5</v>
      </c>
      <c r="K188" s="167">
        <v>7</v>
      </c>
      <c r="L188" s="165">
        <f t="shared" si="10"/>
        <v>0.7142857142857143</v>
      </c>
      <c r="M188" s="996"/>
      <c r="N188" s="996"/>
      <c r="O188" s="996"/>
    </row>
    <row r="189" spans="2:15" ht="36.75" customHeight="1" x14ac:dyDescent="0.3">
      <c r="B189" s="29"/>
      <c r="C189" s="30"/>
      <c r="D189" s="30"/>
      <c r="G189" s="859"/>
      <c r="H189" s="861"/>
      <c r="I189" s="45" t="s">
        <v>213</v>
      </c>
      <c r="J189" s="167">
        <v>16</v>
      </c>
      <c r="K189" s="167">
        <v>20</v>
      </c>
      <c r="L189" s="165">
        <f t="shared" si="10"/>
        <v>0.8</v>
      </c>
      <c r="M189" s="996"/>
      <c r="N189" s="996"/>
      <c r="O189" s="996"/>
    </row>
    <row r="190" spans="2:15" ht="36.75" customHeight="1" x14ac:dyDescent="0.3">
      <c r="B190" s="29"/>
      <c r="C190" s="30"/>
      <c r="D190" s="30"/>
      <c r="G190" s="859"/>
      <c r="H190" s="861"/>
      <c r="I190" s="45" t="s">
        <v>214</v>
      </c>
      <c r="J190" s="167">
        <v>15</v>
      </c>
      <c r="K190" s="167">
        <v>18</v>
      </c>
      <c r="L190" s="165">
        <f t="shared" si="10"/>
        <v>0.83333333333333337</v>
      </c>
      <c r="M190" s="996"/>
      <c r="N190" s="996"/>
      <c r="O190" s="996"/>
    </row>
    <row r="191" spans="2:15" ht="36.75" customHeight="1" x14ac:dyDescent="0.3">
      <c r="B191" s="29"/>
      <c r="C191" s="30"/>
      <c r="D191" s="30"/>
      <c r="G191" s="859"/>
      <c r="H191" s="861"/>
      <c r="I191" s="45" t="s">
        <v>215</v>
      </c>
      <c r="J191" s="167"/>
      <c r="K191" s="167"/>
      <c r="L191" s="165" t="e">
        <f t="shared" si="10"/>
        <v>#DIV/0!</v>
      </c>
      <c r="M191" s="996"/>
      <c r="N191" s="996"/>
      <c r="O191" s="996"/>
    </row>
    <row r="192" spans="2:15" ht="36.75" customHeight="1" x14ac:dyDescent="0.3">
      <c r="B192" s="29"/>
      <c r="C192" s="30"/>
      <c r="D192" s="30"/>
      <c r="G192" s="859"/>
      <c r="H192" s="861"/>
      <c r="I192" s="35" t="s">
        <v>216</v>
      </c>
      <c r="J192" s="168">
        <f>SUM(J188:J191)</f>
        <v>36</v>
      </c>
      <c r="K192" s="168">
        <f>SUM(K188:K191)</f>
        <v>45</v>
      </c>
      <c r="L192" s="166">
        <f t="shared" si="10"/>
        <v>0.8</v>
      </c>
      <c r="M192" s="996"/>
      <c r="N192" s="996"/>
      <c r="O192" s="996"/>
    </row>
    <row r="193" spans="1:15" ht="36.75" customHeight="1" x14ac:dyDescent="0.3">
      <c r="B193" s="29"/>
      <c r="C193" s="30"/>
      <c r="D193" s="30"/>
      <c r="G193" s="859"/>
      <c r="H193" s="933" t="s">
        <v>81</v>
      </c>
      <c r="I193" s="45" t="s">
        <v>212</v>
      </c>
      <c r="J193" s="167">
        <f>+J188+J183+J178+J173</f>
        <v>11</v>
      </c>
      <c r="K193" s="167">
        <f>+K188+K183+K178+K173</f>
        <v>15</v>
      </c>
      <c r="L193" s="165">
        <f>+J193/K193</f>
        <v>0.73333333333333328</v>
      </c>
      <c r="M193" s="996"/>
      <c r="N193" s="996"/>
      <c r="O193" s="996"/>
    </row>
    <row r="194" spans="1:15" ht="36.75" customHeight="1" x14ac:dyDescent="0.3">
      <c r="B194" s="29"/>
      <c r="C194" s="30"/>
      <c r="D194" s="30"/>
      <c r="G194" s="859"/>
      <c r="H194" s="933"/>
      <c r="I194" s="45" t="s">
        <v>213</v>
      </c>
      <c r="J194" s="167">
        <f>+J189+J184+J179+J174</f>
        <v>34</v>
      </c>
      <c r="K194" s="167">
        <f>+K189+K184+K179+K174</f>
        <v>49</v>
      </c>
      <c r="L194" s="165">
        <f>+J194/K194</f>
        <v>0.69387755102040816</v>
      </c>
      <c r="M194" s="996"/>
      <c r="N194" s="996"/>
      <c r="O194" s="996"/>
    </row>
    <row r="195" spans="1:15" ht="36.75" customHeight="1" x14ac:dyDescent="0.3">
      <c r="B195" s="29"/>
      <c r="C195" s="30"/>
      <c r="D195" s="30"/>
      <c r="G195" s="859"/>
      <c r="H195" s="933"/>
      <c r="I195" s="45" t="s">
        <v>214</v>
      </c>
      <c r="J195" s="167">
        <f>J175+J180+J185+J190</f>
        <v>23</v>
      </c>
      <c r="K195" s="167">
        <f>K175+K180+K185+K190</f>
        <v>28</v>
      </c>
      <c r="L195" s="165">
        <f>+J195/K195</f>
        <v>0.8214285714285714</v>
      </c>
      <c r="M195" s="996"/>
      <c r="N195" s="996"/>
      <c r="O195" s="996"/>
    </row>
    <row r="196" spans="1:15" ht="36.75" customHeight="1" x14ac:dyDescent="0.3">
      <c r="B196" s="29"/>
      <c r="C196" s="30"/>
      <c r="D196" s="30"/>
      <c r="G196" s="859"/>
      <c r="H196" s="933"/>
      <c r="I196" s="45" t="s">
        <v>215</v>
      </c>
      <c r="J196" s="167"/>
      <c r="K196" s="167"/>
      <c r="L196" s="165" t="e">
        <f>+J196/K196</f>
        <v>#DIV/0!</v>
      </c>
      <c r="M196" s="996"/>
      <c r="N196" s="996"/>
      <c r="O196" s="996"/>
    </row>
    <row r="197" spans="1:15" ht="36.75" customHeight="1" x14ac:dyDescent="0.3">
      <c r="B197" s="29"/>
      <c r="C197" s="30"/>
      <c r="D197" s="30"/>
      <c r="G197" s="859"/>
      <c r="H197" s="933"/>
      <c r="I197" s="35" t="s">
        <v>81</v>
      </c>
      <c r="J197" s="168">
        <f>SUM(J193:J196)</f>
        <v>68</v>
      </c>
      <c r="K197" s="168">
        <f>SUM(K193:K196)</f>
        <v>92</v>
      </c>
      <c r="L197" s="166">
        <f>+J197/K197</f>
        <v>0.73913043478260865</v>
      </c>
      <c r="M197" s="996"/>
      <c r="N197" s="996"/>
      <c r="O197" s="996"/>
    </row>
    <row r="198" spans="1:15" ht="36.75" customHeight="1" x14ac:dyDescent="0.3">
      <c r="B198" s="29"/>
      <c r="C198" s="30"/>
      <c r="D198" s="30"/>
      <c r="G198" s="219"/>
      <c r="H198" s="220"/>
      <c r="I198" s="221"/>
      <c r="J198" s="222"/>
      <c r="K198" s="222"/>
      <c r="L198" s="223"/>
      <c r="M198" s="224"/>
      <c r="N198" s="224"/>
      <c r="O198" s="224"/>
    </row>
    <row r="199" spans="1:15" ht="20" x14ac:dyDescent="0.25">
      <c r="A199" s="853" t="str">
        <f>+D21</f>
        <v>PORCENTAJE (%) DE SEGUIMIENTO DE AUTORIZACIONES VIGENTES DE ACUERDO AL PROCEDIMIENTO  "P-AA-07: SEGUIMIENTO Y CONTROL A TRÁMITES AMBIENTALES".</v>
      </c>
      <c r="B199" s="854"/>
      <c r="C199" s="854"/>
      <c r="D199" s="854"/>
      <c r="E199" s="854"/>
      <c r="F199" s="854"/>
      <c r="G199" s="854"/>
      <c r="H199" s="854"/>
      <c r="I199" s="854"/>
      <c r="J199" s="854"/>
      <c r="K199" s="854"/>
      <c r="L199" s="854"/>
      <c r="M199" s="854"/>
      <c r="N199" s="854"/>
      <c r="O199" s="855"/>
    </row>
    <row r="201" spans="1:15" ht="23" x14ac:dyDescent="0.25">
      <c r="A201" s="26"/>
      <c r="G201" s="39">
        <v>2011</v>
      </c>
      <c r="H201" s="39">
        <v>2012</v>
      </c>
      <c r="I201" s="39">
        <v>2013</v>
      </c>
      <c r="J201" s="39">
        <v>2014</v>
      </c>
      <c r="K201" s="39">
        <v>2015</v>
      </c>
    </row>
    <row r="202" spans="1:15" ht="45" customHeight="1" x14ac:dyDescent="0.25">
      <c r="A202" s="856" t="s">
        <v>551</v>
      </c>
      <c r="B202" s="857"/>
      <c r="C202" s="857"/>
      <c r="D202" s="857"/>
      <c r="E202" s="857"/>
      <c r="F202" s="857"/>
      <c r="G202" s="27">
        <v>1</v>
      </c>
      <c r="H202" s="27">
        <v>1</v>
      </c>
      <c r="I202" s="27">
        <v>1</v>
      </c>
      <c r="J202" s="27">
        <v>1</v>
      </c>
      <c r="K202" s="27">
        <f>+K217</f>
        <v>0.91874999999999996</v>
      </c>
    </row>
    <row r="203" spans="1:15" ht="54.75" customHeight="1" x14ac:dyDescent="0.25">
      <c r="A203" s="856" t="s">
        <v>552</v>
      </c>
      <c r="B203" s="857"/>
      <c r="C203" s="857"/>
      <c r="D203" s="857"/>
      <c r="E203" s="857"/>
      <c r="F203" s="857"/>
      <c r="G203" s="27">
        <v>1</v>
      </c>
      <c r="H203" s="27">
        <v>1</v>
      </c>
      <c r="I203" s="27">
        <v>1</v>
      </c>
      <c r="J203" s="27">
        <v>1</v>
      </c>
      <c r="K203" s="27">
        <v>1</v>
      </c>
    </row>
    <row r="204" spans="1:15" ht="47.25" customHeight="1" x14ac:dyDescent="0.25">
      <c r="A204" s="856" t="s">
        <v>834</v>
      </c>
      <c r="B204" s="857"/>
      <c r="C204" s="857"/>
      <c r="D204" s="857"/>
      <c r="E204" s="857"/>
      <c r="F204" s="857"/>
      <c r="G204" s="27">
        <v>0.95</v>
      </c>
      <c r="H204" s="27">
        <v>0.95</v>
      </c>
      <c r="I204" s="27">
        <v>0.95</v>
      </c>
      <c r="J204" s="27">
        <v>0.95</v>
      </c>
      <c r="K204" s="27">
        <v>0.95</v>
      </c>
    </row>
    <row r="205" spans="1:15" ht="43.5" customHeight="1" x14ac:dyDescent="0.25">
      <c r="A205" s="857" t="s">
        <v>835</v>
      </c>
      <c r="B205" s="857"/>
      <c r="C205" s="857"/>
      <c r="D205" s="857"/>
      <c r="E205" s="857"/>
      <c r="F205" s="857"/>
      <c r="G205" s="27">
        <v>0.1</v>
      </c>
      <c r="H205" s="27">
        <v>0.1</v>
      </c>
      <c r="I205" s="27">
        <v>0.1</v>
      </c>
      <c r="J205" s="27">
        <v>0.1</v>
      </c>
      <c r="K205" s="27">
        <v>0.1</v>
      </c>
    </row>
    <row r="206" spans="1:15" x14ac:dyDescent="0.25">
      <c r="A206" s="5"/>
    </row>
    <row r="207" spans="1:15" ht="17.5" x14ac:dyDescent="0.25">
      <c r="A207" s="5"/>
      <c r="B207" s="28"/>
      <c r="C207" s="28"/>
      <c r="D207" s="28"/>
      <c r="G207" s="858" t="s">
        <v>77</v>
      </c>
      <c r="H207" s="858"/>
      <c r="I207" s="858" t="s">
        <v>78</v>
      </c>
      <c r="J207" s="858"/>
      <c r="K207" s="858"/>
      <c r="L207" s="858" t="s">
        <v>79</v>
      </c>
      <c r="M207" s="858"/>
      <c r="N207" s="858"/>
      <c r="O207" s="858"/>
    </row>
    <row r="208" spans="1:15" ht="230.25" customHeight="1" x14ac:dyDescent="0.25">
      <c r="A208" s="5"/>
      <c r="G208" s="858"/>
      <c r="H208" s="858"/>
      <c r="I208" s="59" t="s">
        <v>217</v>
      </c>
      <c r="J208" s="59" t="s">
        <v>218</v>
      </c>
      <c r="K208" s="59" t="s">
        <v>219</v>
      </c>
      <c r="L208" s="858"/>
      <c r="M208" s="858"/>
      <c r="N208" s="858"/>
      <c r="O208" s="858"/>
    </row>
    <row r="209" spans="1:15" ht="82.5" customHeight="1" x14ac:dyDescent="0.25">
      <c r="A209" s="5"/>
      <c r="G209" s="859">
        <v>2011</v>
      </c>
      <c r="H209" s="169" t="s">
        <v>551</v>
      </c>
      <c r="I209" s="88">
        <v>161</v>
      </c>
      <c r="J209" s="88">
        <v>146</v>
      </c>
      <c r="K209" s="165">
        <f t="shared" ref="K209:K218" si="11">+I209/J209</f>
        <v>1.1027397260273972</v>
      </c>
      <c r="L209" s="993" t="s">
        <v>664</v>
      </c>
      <c r="M209" s="994"/>
      <c r="N209" s="994"/>
      <c r="O209" s="995"/>
    </row>
    <row r="210" spans="1:15" ht="82.5" customHeight="1" x14ac:dyDescent="0.25">
      <c r="A210" s="5"/>
      <c r="G210" s="859"/>
      <c r="H210" s="169" t="s">
        <v>552</v>
      </c>
      <c r="I210" s="88">
        <v>26</v>
      </c>
      <c r="J210" s="88">
        <v>18</v>
      </c>
      <c r="K210" s="165">
        <f t="shared" si="11"/>
        <v>1.4444444444444444</v>
      </c>
      <c r="L210" s="993"/>
      <c r="M210" s="994"/>
      <c r="N210" s="994"/>
      <c r="O210" s="995"/>
    </row>
    <row r="211" spans="1:15" ht="82.5" customHeight="1" x14ac:dyDescent="0.25">
      <c r="A211" s="5"/>
      <c r="G211" s="859">
        <v>2012</v>
      </c>
      <c r="H211" s="169" t="s">
        <v>551</v>
      </c>
      <c r="I211" s="88">
        <v>538</v>
      </c>
      <c r="J211" s="88">
        <v>76</v>
      </c>
      <c r="K211" s="165">
        <f t="shared" si="11"/>
        <v>7.0789473684210522</v>
      </c>
      <c r="L211" s="993" t="s">
        <v>664</v>
      </c>
      <c r="M211" s="994"/>
      <c r="N211" s="994"/>
      <c r="O211" s="995"/>
    </row>
    <row r="212" spans="1:15" ht="82.5" customHeight="1" x14ac:dyDescent="0.25">
      <c r="A212" s="5"/>
      <c r="G212" s="859"/>
      <c r="H212" s="169" t="s">
        <v>552</v>
      </c>
      <c r="I212" s="88">
        <v>35</v>
      </c>
      <c r="J212" s="88">
        <v>9</v>
      </c>
      <c r="K212" s="165">
        <f t="shared" si="11"/>
        <v>3.8888888888888888</v>
      </c>
      <c r="L212" s="993"/>
      <c r="M212" s="994"/>
      <c r="N212" s="994"/>
      <c r="O212" s="995"/>
    </row>
    <row r="213" spans="1:15" ht="82.5" customHeight="1" x14ac:dyDescent="0.25">
      <c r="A213" s="5"/>
      <c r="G213" s="859">
        <v>2013</v>
      </c>
      <c r="H213" s="169" t="s">
        <v>551</v>
      </c>
      <c r="I213" s="88">
        <v>391</v>
      </c>
      <c r="J213" s="88">
        <v>96</v>
      </c>
      <c r="K213" s="165">
        <f t="shared" si="11"/>
        <v>4.072916666666667</v>
      </c>
      <c r="L213" s="993" t="s">
        <v>664</v>
      </c>
      <c r="M213" s="994"/>
      <c r="N213" s="994"/>
      <c r="O213" s="995"/>
    </row>
    <row r="214" spans="1:15" ht="82.5" customHeight="1" x14ac:dyDescent="0.25">
      <c r="A214" s="5"/>
      <c r="G214" s="859"/>
      <c r="H214" s="169" t="s">
        <v>552</v>
      </c>
      <c r="I214" s="88">
        <v>54</v>
      </c>
      <c r="J214" s="88">
        <v>12</v>
      </c>
      <c r="K214" s="165">
        <f t="shared" si="11"/>
        <v>4.5</v>
      </c>
      <c r="L214" s="993"/>
      <c r="M214" s="994"/>
      <c r="N214" s="994"/>
      <c r="O214" s="995"/>
    </row>
    <row r="215" spans="1:15" ht="82.5" customHeight="1" x14ac:dyDescent="0.25">
      <c r="A215" s="5"/>
      <c r="G215" s="859">
        <v>2014</v>
      </c>
      <c r="H215" s="169" t="s">
        <v>551</v>
      </c>
      <c r="I215" s="88">
        <v>196</v>
      </c>
      <c r="J215" s="88">
        <v>88</v>
      </c>
      <c r="K215" s="90">
        <f t="shared" si="11"/>
        <v>2.2272727272727271</v>
      </c>
      <c r="L215" s="993" t="s">
        <v>664</v>
      </c>
      <c r="M215" s="994"/>
      <c r="N215" s="994"/>
      <c r="O215" s="995"/>
    </row>
    <row r="216" spans="1:15" ht="82.5" customHeight="1" x14ac:dyDescent="0.25">
      <c r="A216" s="5"/>
      <c r="G216" s="859"/>
      <c r="H216" s="169" t="s">
        <v>552</v>
      </c>
      <c r="I216" s="88">
        <v>50</v>
      </c>
      <c r="J216" s="88">
        <v>11</v>
      </c>
      <c r="K216" s="90">
        <f t="shared" si="11"/>
        <v>4.5454545454545459</v>
      </c>
      <c r="L216" s="993"/>
      <c r="M216" s="994"/>
      <c r="N216" s="994"/>
      <c r="O216" s="995"/>
    </row>
    <row r="217" spans="1:15" ht="93" customHeight="1" x14ac:dyDescent="0.25">
      <c r="A217" s="5"/>
      <c r="G217" s="859">
        <v>2015</v>
      </c>
      <c r="H217" s="169" t="s">
        <v>551</v>
      </c>
      <c r="I217" s="88">
        <v>147</v>
      </c>
      <c r="J217" s="88">
        <v>160</v>
      </c>
      <c r="K217" s="90">
        <f t="shared" si="11"/>
        <v>0.91874999999999996</v>
      </c>
      <c r="L217" s="993" t="s">
        <v>794</v>
      </c>
      <c r="M217" s="994"/>
      <c r="N217" s="994"/>
      <c r="O217" s="995"/>
    </row>
    <row r="218" spans="1:15" ht="93" customHeight="1" x14ac:dyDescent="0.25">
      <c r="A218" s="5"/>
      <c r="G218" s="859"/>
      <c r="H218" s="169" t="s">
        <v>552</v>
      </c>
      <c r="I218" s="88">
        <v>31</v>
      </c>
      <c r="J218" s="88">
        <v>16</v>
      </c>
      <c r="K218" s="90">
        <f t="shared" si="11"/>
        <v>1.9375</v>
      </c>
      <c r="L218" s="993"/>
      <c r="M218" s="994"/>
      <c r="N218" s="994"/>
      <c r="O218" s="995"/>
    </row>
    <row r="221" spans="1:15" ht="23" x14ac:dyDescent="0.25">
      <c r="A221" s="26"/>
      <c r="G221" s="39">
        <v>2011</v>
      </c>
      <c r="H221" s="39">
        <v>2012</v>
      </c>
      <c r="I221" s="39">
        <v>2013</v>
      </c>
      <c r="J221" s="39">
        <v>2014</v>
      </c>
      <c r="K221" s="39">
        <v>2015</v>
      </c>
    </row>
    <row r="222" spans="1:15" ht="45" customHeight="1" x14ac:dyDescent="0.25">
      <c r="A222" s="856" t="s">
        <v>555</v>
      </c>
      <c r="B222" s="857"/>
      <c r="C222" s="857"/>
      <c r="D222" s="857"/>
      <c r="E222" s="857"/>
      <c r="F222" s="857"/>
      <c r="G222" s="27">
        <v>1</v>
      </c>
      <c r="H222" s="27">
        <v>1</v>
      </c>
      <c r="I222" s="27">
        <v>1</v>
      </c>
      <c r="J222" s="27">
        <v>1</v>
      </c>
      <c r="K222" s="27">
        <f>+K237</f>
        <v>0.68936877076411962</v>
      </c>
    </row>
    <row r="223" spans="1:15" ht="42" customHeight="1" x14ac:dyDescent="0.25">
      <c r="A223" s="856" t="s">
        <v>556</v>
      </c>
      <c r="B223" s="857"/>
      <c r="C223" s="857"/>
      <c r="D223" s="857"/>
      <c r="E223" s="857"/>
      <c r="F223" s="857"/>
      <c r="G223" s="27">
        <v>1</v>
      </c>
      <c r="H223" s="27">
        <v>1</v>
      </c>
      <c r="I223" s="27">
        <v>1</v>
      </c>
      <c r="J223" s="27">
        <v>1</v>
      </c>
      <c r="K223" s="27">
        <f>+K238</f>
        <v>0.27906976744186046</v>
      </c>
    </row>
    <row r="224" spans="1:15" ht="42" customHeight="1" x14ac:dyDescent="0.25">
      <c r="A224" s="856" t="s">
        <v>832</v>
      </c>
      <c r="B224" s="857"/>
      <c r="C224" s="857"/>
      <c r="D224" s="857"/>
      <c r="E224" s="857"/>
      <c r="F224" s="857"/>
      <c r="G224" s="27">
        <v>0.8</v>
      </c>
      <c r="H224" s="27">
        <v>0.8</v>
      </c>
      <c r="I224" s="27">
        <v>0.8</v>
      </c>
      <c r="J224" s="27">
        <v>0.8</v>
      </c>
      <c r="K224" s="27">
        <v>0.8</v>
      </c>
    </row>
    <row r="225" spans="1:15" ht="33.75" customHeight="1" x14ac:dyDescent="0.25">
      <c r="A225" s="856" t="s">
        <v>833</v>
      </c>
      <c r="B225" s="857"/>
      <c r="C225" s="857"/>
      <c r="D225" s="857"/>
      <c r="E225" s="857"/>
      <c r="F225" s="857"/>
      <c r="G225" s="27">
        <v>0.25</v>
      </c>
      <c r="H225" s="27">
        <v>0.25</v>
      </c>
      <c r="I225" s="27">
        <v>0.25</v>
      </c>
      <c r="J225" s="27">
        <v>0.25</v>
      </c>
      <c r="K225" s="27">
        <v>0.25</v>
      </c>
    </row>
    <row r="226" spans="1:15" x14ac:dyDescent="0.25">
      <c r="A226" s="5"/>
    </row>
    <row r="227" spans="1:15" ht="17.5" x14ac:dyDescent="0.25">
      <c r="A227" s="5"/>
      <c r="B227" s="28"/>
      <c r="C227" s="28"/>
      <c r="D227" s="28"/>
      <c r="G227" s="858" t="s">
        <v>77</v>
      </c>
      <c r="H227" s="858"/>
      <c r="I227" s="858" t="s">
        <v>78</v>
      </c>
      <c r="J227" s="858"/>
      <c r="K227" s="858"/>
      <c r="L227" s="858" t="s">
        <v>79</v>
      </c>
      <c r="M227" s="858"/>
      <c r="N227" s="858"/>
      <c r="O227" s="858"/>
    </row>
    <row r="228" spans="1:15" ht="230.25" customHeight="1" x14ac:dyDescent="0.25">
      <c r="A228" s="5"/>
      <c r="G228" s="858"/>
      <c r="H228" s="858"/>
      <c r="I228" s="59" t="s">
        <v>217</v>
      </c>
      <c r="J228" s="59" t="s">
        <v>218</v>
      </c>
      <c r="K228" s="59" t="s">
        <v>219</v>
      </c>
      <c r="L228" s="858"/>
      <c r="M228" s="858"/>
      <c r="N228" s="858"/>
      <c r="O228" s="858"/>
    </row>
    <row r="229" spans="1:15" ht="87" customHeight="1" x14ac:dyDescent="0.25">
      <c r="A229" s="5"/>
      <c r="G229" s="859">
        <v>2011</v>
      </c>
      <c r="H229" s="161" t="s">
        <v>555</v>
      </c>
      <c r="I229" s="88">
        <v>243</v>
      </c>
      <c r="J229" s="88">
        <v>241</v>
      </c>
      <c r="K229" s="165">
        <f t="shared" ref="K229:K236" si="12">+I229/J229</f>
        <v>1.008298755186722</v>
      </c>
      <c r="L229" s="993" t="s">
        <v>665</v>
      </c>
      <c r="M229" s="994"/>
      <c r="N229" s="994"/>
      <c r="O229" s="995"/>
    </row>
    <row r="230" spans="1:15" ht="87" customHeight="1" x14ac:dyDescent="0.25">
      <c r="A230" s="5"/>
      <c r="G230" s="859"/>
      <c r="H230" s="161" t="s">
        <v>556</v>
      </c>
      <c r="I230" s="88">
        <v>75</v>
      </c>
      <c r="J230" s="88">
        <v>75</v>
      </c>
      <c r="K230" s="165">
        <f t="shared" si="12"/>
        <v>1</v>
      </c>
      <c r="L230" s="993"/>
      <c r="M230" s="994"/>
      <c r="N230" s="994"/>
      <c r="O230" s="995"/>
    </row>
    <row r="231" spans="1:15" ht="87" customHeight="1" x14ac:dyDescent="0.25">
      <c r="A231" s="5"/>
      <c r="G231" s="859">
        <v>2012</v>
      </c>
      <c r="H231" s="161" t="s">
        <v>555</v>
      </c>
      <c r="I231" s="88">
        <v>263</v>
      </c>
      <c r="J231" s="88">
        <v>250</v>
      </c>
      <c r="K231" s="165">
        <f t="shared" si="12"/>
        <v>1.052</v>
      </c>
      <c r="L231" s="993" t="s">
        <v>664</v>
      </c>
      <c r="M231" s="994"/>
      <c r="N231" s="994"/>
      <c r="O231" s="995"/>
    </row>
    <row r="232" spans="1:15" ht="87" customHeight="1" x14ac:dyDescent="0.25">
      <c r="A232" s="5"/>
      <c r="G232" s="859"/>
      <c r="H232" s="161" t="s">
        <v>556</v>
      </c>
      <c r="I232" s="88">
        <v>84</v>
      </c>
      <c r="J232" s="88">
        <v>78</v>
      </c>
      <c r="K232" s="165">
        <f t="shared" si="12"/>
        <v>1.0769230769230769</v>
      </c>
      <c r="L232" s="993"/>
      <c r="M232" s="994"/>
      <c r="N232" s="994"/>
      <c r="O232" s="995"/>
    </row>
    <row r="233" spans="1:15" ht="87" customHeight="1" x14ac:dyDescent="0.25">
      <c r="A233" s="5"/>
      <c r="G233" s="859">
        <v>2013</v>
      </c>
      <c r="H233" s="161" t="s">
        <v>555</v>
      </c>
      <c r="I233" s="88">
        <v>323</v>
      </c>
      <c r="J233" s="88">
        <v>267</v>
      </c>
      <c r="K233" s="165">
        <f t="shared" si="12"/>
        <v>1.2097378277153559</v>
      </c>
      <c r="L233" s="993" t="s">
        <v>664</v>
      </c>
      <c r="M233" s="994"/>
      <c r="N233" s="994"/>
      <c r="O233" s="995"/>
    </row>
    <row r="234" spans="1:15" ht="87" customHeight="1" x14ac:dyDescent="0.25">
      <c r="A234" s="5"/>
      <c r="G234" s="859"/>
      <c r="H234" s="161" t="s">
        <v>556</v>
      </c>
      <c r="I234" s="88">
        <v>108</v>
      </c>
      <c r="J234" s="88">
        <v>84</v>
      </c>
      <c r="K234" s="165">
        <f t="shared" si="12"/>
        <v>1.2857142857142858</v>
      </c>
      <c r="L234" s="993"/>
      <c r="M234" s="994"/>
      <c r="N234" s="994"/>
      <c r="O234" s="995"/>
    </row>
    <row r="235" spans="1:15" ht="87" customHeight="1" x14ac:dyDescent="0.25">
      <c r="A235" s="5"/>
      <c r="G235" s="859">
        <v>2014</v>
      </c>
      <c r="H235" s="161" t="s">
        <v>555</v>
      </c>
      <c r="I235" s="88">
        <v>277</v>
      </c>
      <c r="J235" s="88">
        <v>228</v>
      </c>
      <c r="K235" s="165">
        <f t="shared" si="12"/>
        <v>1.2149122807017543</v>
      </c>
      <c r="L235" s="993" t="s">
        <v>664</v>
      </c>
      <c r="M235" s="994"/>
      <c r="N235" s="994"/>
      <c r="O235" s="995"/>
    </row>
    <row r="236" spans="1:15" ht="87" customHeight="1" x14ac:dyDescent="0.25">
      <c r="A236" s="5"/>
      <c r="G236" s="859"/>
      <c r="H236" s="161" t="s">
        <v>556</v>
      </c>
      <c r="I236" s="88">
        <v>103</v>
      </c>
      <c r="J236" s="88">
        <v>71</v>
      </c>
      <c r="K236" s="165">
        <f t="shared" si="12"/>
        <v>1.4507042253521127</v>
      </c>
      <c r="L236" s="993"/>
      <c r="M236" s="994"/>
      <c r="N236" s="994"/>
      <c r="O236" s="995"/>
    </row>
    <row r="237" spans="1:15" ht="87" customHeight="1" x14ac:dyDescent="0.25">
      <c r="A237" s="5"/>
      <c r="G237" s="859">
        <v>2015</v>
      </c>
      <c r="H237" s="204" t="s">
        <v>555</v>
      </c>
      <c r="I237" s="88">
        <v>166</v>
      </c>
      <c r="J237" s="88">
        <f>301*80%</f>
        <v>240.8</v>
      </c>
      <c r="K237" s="165">
        <f>+I237/J237</f>
        <v>0.68936877076411962</v>
      </c>
      <c r="L237" s="874" t="s">
        <v>796</v>
      </c>
      <c r="M237" s="875"/>
      <c r="N237" s="875"/>
      <c r="O237" s="876"/>
    </row>
    <row r="238" spans="1:15" ht="87" customHeight="1" x14ac:dyDescent="0.25">
      <c r="A238" s="5"/>
      <c r="G238" s="859"/>
      <c r="H238" s="204" t="s">
        <v>556</v>
      </c>
      <c r="I238" s="88">
        <v>21</v>
      </c>
      <c r="J238" s="88">
        <f>301*25%</f>
        <v>75.25</v>
      </c>
      <c r="K238" s="165">
        <f>+I238/J238</f>
        <v>0.27906976744186046</v>
      </c>
      <c r="L238" s="874"/>
      <c r="M238" s="875"/>
      <c r="N238" s="875"/>
      <c r="O238" s="876"/>
    </row>
    <row r="241" spans="1:15" ht="23" x14ac:dyDescent="0.25">
      <c r="A241" s="26"/>
      <c r="G241" s="39">
        <v>2011</v>
      </c>
      <c r="H241" s="39">
        <v>2012</v>
      </c>
      <c r="I241" s="39">
        <v>2013</v>
      </c>
      <c r="J241" s="39">
        <v>2014</v>
      </c>
      <c r="K241" s="39">
        <v>2015</v>
      </c>
    </row>
    <row r="242" spans="1:15" ht="58.5" customHeight="1" x14ac:dyDescent="0.25">
      <c r="A242" s="856" t="s">
        <v>553</v>
      </c>
      <c r="B242" s="857"/>
      <c r="C242" s="857"/>
      <c r="D242" s="857"/>
      <c r="E242" s="857"/>
      <c r="F242" s="857"/>
      <c r="G242" s="149">
        <v>1</v>
      </c>
      <c r="H242" s="149">
        <v>0.99199999999999999</v>
      </c>
      <c r="I242" s="149">
        <v>0.91500000000000004</v>
      </c>
      <c r="J242" s="149">
        <v>0.83399999999999996</v>
      </c>
      <c r="K242" s="149">
        <f>+K257</f>
        <v>0.5</v>
      </c>
    </row>
    <row r="243" spans="1:15" ht="58.5" customHeight="1" x14ac:dyDescent="0.25">
      <c r="A243" s="856" t="s">
        <v>554</v>
      </c>
      <c r="B243" s="857"/>
      <c r="C243" s="857"/>
      <c r="D243" s="857"/>
      <c r="E243" s="857"/>
      <c r="F243" s="857"/>
      <c r="G243" s="149">
        <v>1</v>
      </c>
      <c r="H243" s="149">
        <v>0.98699999999999999</v>
      </c>
      <c r="I243" s="149">
        <v>1</v>
      </c>
      <c r="J243" s="149">
        <v>0.82199999999999995</v>
      </c>
      <c r="K243" s="149">
        <f>+K258</f>
        <v>0.83902439024390241</v>
      </c>
    </row>
    <row r="244" spans="1:15" ht="42" customHeight="1" x14ac:dyDescent="0.25">
      <c r="A244" s="856" t="s">
        <v>829</v>
      </c>
      <c r="B244" s="857"/>
      <c r="C244" s="857"/>
      <c r="D244" s="857"/>
      <c r="E244" s="857"/>
      <c r="F244" s="857"/>
      <c r="G244" s="27">
        <v>0.8</v>
      </c>
      <c r="H244" s="27">
        <v>0.8</v>
      </c>
      <c r="I244" s="27">
        <v>0.8</v>
      </c>
      <c r="J244" s="27">
        <v>0.8</v>
      </c>
      <c r="K244" s="27">
        <v>0.8</v>
      </c>
    </row>
    <row r="245" spans="1:15" ht="35.25" customHeight="1" x14ac:dyDescent="0.25">
      <c r="A245" s="856" t="s">
        <v>831</v>
      </c>
      <c r="B245" s="857"/>
      <c r="C245" s="857"/>
      <c r="D245" s="857"/>
      <c r="E245" s="857"/>
      <c r="F245" s="857"/>
      <c r="G245" s="27">
        <v>0.25</v>
      </c>
      <c r="H245" s="27">
        <v>0.25</v>
      </c>
      <c r="I245" s="27">
        <v>0.25</v>
      </c>
      <c r="J245" s="27">
        <v>0.25</v>
      </c>
      <c r="K245" s="27">
        <v>0.25</v>
      </c>
    </row>
    <row r="246" spans="1:15" x14ac:dyDescent="0.25">
      <c r="A246" s="5"/>
    </row>
    <row r="247" spans="1:15" ht="17.5" x14ac:dyDescent="0.25">
      <c r="A247" s="5"/>
      <c r="B247" s="28"/>
      <c r="C247" s="28"/>
      <c r="D247" s="28"/>
      <c r="G247" s="858" t="s">
        <v>77</v>
      </c>
      <c r="H247" s="858"/>
      <c r="I247" s="858" t="s">
        <v>78</v>
      </c>
      <c r="J247" s="858"/>
      <c r="K247" s="858"/>
      <c r="L247" s="858" t="s">
        <v>79</v>
      </c>
      <c r="M247" s="858"/>
      <c r="N247" s="858"/>
      <c r="O247" s="858"/>
    </row>
    <row r="248" spans="1:15" ht="230.25" customHeight="1" x14ac:dyDescent="0.25">
      <c r="A248" s="5"/>
      <c r="G248" s="858"/>
      <c r="H248" s="858"/>
      <c r="I248" s="59" t="s">
        <v>217</v>
      </c>
      <c r="J248" s="59" t="s">
        <v>218</v>
      </c>
      <c r="K248" s="59" t="s">
        <v>219</v>
      </c>
      <c r="L248" s="858"/>
      <c r="M248" s="858"/>
      <c r="N248" s="858"/>
      <c r="O248" s="858"/>
    </row>
    <row r="249" spans="1:15" ht="91.5" customHeight="1" x14ac:dyDescent="0.25">
      <c r="A249" s="5"/>
      <c r="G249" s="859">
        <v>2011</v>
      </c>
      <c r="H249" s="169" t="s">
        <v>553</v>
      </c>
      <c r="I249" s="88">
        <v>238</v>
      </c>
      <c r="J249" s="88">
        <v>238</v>
      </c>
      <c r="K249" s="90">
        <f t="shared" ref="K249:K256" si="13">+I249/J249</f>
        <v>1</v>
      </c>
      <c r="L249" s="993" t="s">
        <v>665</v>
      </c>
      <c r="M249" s="994"/>
      <c r="N249" s="994"/>
      <c r="O249" s="995"/>
    </row>
    <row r="250" spans="1:15" ht="88.5" customHeight="1" x14ac:dyDescent="0.25">
      <c r="A250" s="5"/>
      <c r="G250" s="859"/>
      <c r="H250" s="169" t="s">
        <v>554</v>
      </c>
      <c r="I250" s="88">
        <v>74</v>
      </c>
      <c r="J250" s="88">
        <v>74</v>
      </c>
      <c r="K250" s="90">
        <f t="shared" si="13"/>
        <v>1</v>
      </c>
      <c r="L250" s="993"/>
      <c r="M250" s="994"/>
      <c r="N250" s="994"/>
      <c r="O250" s="995"/>
    </row>
    <row r="251" spans="1:15" ht="91.5" customHeight="1" x14ac:dyDescent="0.25">
      <c r="A251" s="5"/>
      <c r="G251" s="859">
        <v>2012</v>
      </c>
      <c r="H251" s="169" t="s">
        <v>553</v>
      </c>
      <c r="I251" s="88">
        <v>244</v>
      </c>
      <c r="J251" s="88">
        <v>246</v>
      </c>
      <c r="K251" s="90">
        <f t="shared" si="13"/>
        <v>0.99186991869918695</v>
      </c>
      <c r="L251" s="993" t="s">
        <v>664</v>
      </c>
      <c r="M251" s="994"/>
      <c r="N251" s="994"/>
      <c r="O251" s="995"/>
    </row>
    <row r="252" spans="1:15" ht="93" customHeight="1" x14ac:dyDescent="0.25">
      <c r="A252" s="5"/>
      <c r="G252" s="859"/>
      <c r="H252" s="169" t="s">
        <v>554</v>
      </c>
      <c r="I252" s="88">
        <v>76</v>
      </c>
      <c r="J252" s="88">
        <v>77</v>
      </c>
      <c r="K252" s="90">
        <f t="shared" si="13"/>
        <v>0.98701298701298701</v>
      </c>
      <c r="L252" s="993"/>
      <c r="M252" s="994"/>
      <c r="N252" s="994"/>
      <c r="O252" s="995"/>
    </row>
    <row r="253" spans="1:15" ht="93" customHeight="1" x14ac:dyDescent="0.25">
      <c r="A253" s="5"/>
      <c r="G253" s="859">
        <v>2013</v>
      </c>
      <c r="H253" s="169" t="s">
        <v>553</v>
      </c>
      <c r="I253" s="88">
        <v>238</v>
      </c>
      <c r="J253" s="88">
        <v>260</v>
      </c>
      <c r="K253" s="90">
        <f t="shared" si="13"/>
        <v>0.91538461538461535</v>
      </c>
      <c r="L253" s="993" t="s">
        <v>664</v>
      </c>
      <c r="M253" s="994"/>
      <c r="N253" s="994"/>
      <c r="O253" s="995"/>
    </row>
    <row r="254" spans="1:15" ht="93" customHeight="1" x14ac:dyDescent="0.25">
      <c r="A254" s="5"/>
      <c r="G254" s="859"/>
      <c r="H254" s="169" t="s">
        <v>554</v>
      </c>
      <c r="I254" s="88">
        <v>164</v>
      </c>
      <c r="J254" s="88">
        <v>81</v>
      </c>
      <c r="K254" s="90">
        <f t="shared" si="13"/>
        <v>2.0246913580246915</v>
      </c>
      <c r="L254" s="993"/>
      <c r="M254" s="994"/>
      <c r="N254" s="994"/>
      <c r="O254" s="995"/>
    </row>
    <row r="255" spans="1:15" ht="87" customHeight="1" x14ac:dyDescent="0.25">
      <c r="A255" s="5"/>
      <c r="G255" s="859">
        <v>2014</v>
      </c>
      <c r="H255" s="169" t="s">
        <v>553</v>
      </c>
      <c r="I255" s="88">
        <v>121</v>
      </c>
      <c r="J255" s="88">
        <v>145</v>
      </c>
      <c r="K255" s="90">
        <f t="shared" si="13"/>
        <v>0.83448275862068966</v>
      </c>
      <c r="L255" s="993" t="s">
        <v>664</v>
      </c>
      <c r="M255" s="994"/>
      <c r="N255" s="994"/>
      <c r="O255" s="995"/>
    </row>
    <row r="256" spans="1:15" ht="91.5" customHeight="1" x14ac:dyDescent="0.25">
      <c r="A256" s="5"/>
      <c r="G256" s="859"/>
      <c r="H256" s="169" t="s">
        <v>554</v>
      </c>
      <c r="I256" s="88">
        <v>37</v>
      </c>
      <c r="J256" s="88">
        <v>45</v>
      </c>
      <c r="K256" s="90">
        <f t="shared" si="13"/>
        <v>0.82222222222222219</v>
      </c>
      <c r="L256" s="993"/>
      <c r="M256" s="994"/>
      <c r="N256" s="994"/>
      <c r="O256" s="995"/>
    </row>
    <row r="257" spans="1:15" ht="91.5" customHeight="1" x14ac:dyDescent="0.25">
      <c r="A257" s="5"/>
      <c r="G257" s="859">
        <v>2015</v>
      </c>
      <c r="H257" s="169" t="s">
        <v>553</v>
      </c>
      <c r="I257" s="88">
        <v>82</v>
      </c>
      <c r="J257" s="88">
        <f>205*80%</f>
        <v>164</v>
      </c>
      <c r="K257" s="90">
        <f>+I257/J257</f>
        <v>0.5</v>
      </c>
      <c r="L257" s="874" t="s">
        <v>795</v>
      </c>
      <c r="M257" s="875"/>
      <c r="N257" s="875"/>
      <c r="O257" s="876"/>
    </row>
    <row r="258" spans="1:15" ht="91.5" customHeight="1" x14ac:dyDescent="0.25">
      <c r="A258" s="5"/>
      <c r="G258" s="859"/>
      <c r="H258" s="169" t="s">
        <v>554</v>
      </c>
      <c r="I258" s="88">
        <v>43</v>
      </c>
      <c r="J258" s="88">
        <f>205*25%</f>
        <v>51.25</v>
      </c>
      <c r="K258" s="90">
        <f>+I258/J258</f>
        <v>0.83902439024390241</v>
      </c>
      <c r="L258" s="874"/>
      <c r="M258" s="875"/>
      <c r="N258" s="875"/>
      <c r="O258" s="876"/>
    </row>
    <row r="261" spans="1:15" ht="23" x14ac:dyDescent="0.25">
      <c r="A261" s="26"/>
      <c r="G261" s="39">
        <v>2011</v>
      </c>
      <c r="H261" s="39">
        <v>2012</v>
      </c>
      <c r="I261" s="39">
        <v>2013</v>
      </c>
      <c r="J261" s="39">
        <v>2014</v>
      </c>
      <c r="K261" s="39">
        <v>2015</v>
      </c>
    </row>
    <row r="262" spans="1:15" ht="26.25" customHeight="1" x14ac:dyDescent="0.25">
      <c r="A262" s="856" t="s">
        <v>557</v>
      </c>
      <c r="B262" s="857"/>
      <c r="C262" s="857"/>
      <c r="D262" s="857"/>
      <c r="E262" s="857"/>
      <c r="F262" s="857"/>
      <c r="G262" s="27">
        <v>1</v>
      </c>
      <c r="H262" s="149">
        <v>0.99099999999999999</v>
      </c>
      <c r="I262" s="149">
        <v>0.82</v>
      </c>
      <c r="J262" s="149">
        <v>0.69299999999999995</v>
      </c>
      <c r="K262" s="149">
        <f>+K277</f>
        <v>0.49768518518518517</v>
      </c>
    </row>
    <row r="263" spans="1:15" ht="26.25" customHeight="1" x14ac:dyDescent="0.25">
      <c r="A263" s="856" t="s">
        <v>558</v>
      </c>
      <c r="B263" s="857"/>
      <c r="C263" s="857"/>
      <c r="D263" s="857"/>
      <c r="E263" s="857"/>
      <c r="F263" s="857"/>
      <c r="G263" s="27">
        <v>1</v>
      </c>
      <c r="H263" s="27">
        <v>1</v>
      </c>
      <c r="I263" s="27">
        <v>1</v>
      </c>
      <c r="J263" s="27">
        <v>1</v>
      </c>
      <c r="K263" s="149">
        <f>+K278</f>
        <v>0.7407407407407407</v>
      </c>
    </row>
    <row r="264" spans="1:15" ht="30" customHeight="1" x14ac:dyDescent="0.25">
      <c r="A264" s="856" t="s">
        <v>829</v>
      </c>
      <c r="B264" s="857"/>
      <c r="C264" s="857"/>
      <c r="D264" s="857"/>
      <c r="E264" s="857"/>
      <c r="F264" s="857"/>
      <c r="G264" s="27">
        <v>0.8</v>
      </c>
      <c r="H264" s="27">
        <v>0.8</v>
      </c>
      <c r="I264" s="27">
        <v>0.8</v>
      </c>
      <c r="J264" s="27">
        <v>0.8</v>
      </c>
      <c r="K264" s="27">
        <v>0.8</v>
      </c>
    </row>
    <row r="265" spans="1:15" ht="37.5" customHeight="1" x14ac:dyDescent="0.25">
      <c r="A265" s="856" t="s">
        <v>830</v>
      </c>
      <c r="B265" s="857"/>
      <c r="C265" s="857"/>
      <c r="D265" s="857"/>
      <c r="E265" s="857"/>
      <c r="F265" s="857"/>
      <c r="G265" s="27">
        <v>0.25</v>
      </c>
      <c r="H265" s="27">
        <v>0.25</v>
      </c>
      <c r="I265" s="27">
        <v>0.25</v>
      </c>
      <c r="J265" s="27">
        <v>0.25</v>
      </c>
      <c r="K265" s="27">
        <v>0.25</v>
      </c>
    </row>
    <row r="266" spans="1:15" x14ac:dyDescent="0.25">
      <c r="A266" s="5"/>
    </row>
    <row r="267" spans="1:15" ht="17.5" x14ac:dyDescent="0.25">
      <c r="A267" s="5"/>
      <c r="B267" s="28"/>
      <c r="C267" s="28"/>
      <c r="D267" s="28"/>
      <c r="G267" s="858" t="s">
        <v>77</v>
      </c>
      <c r="H267" s="858"/>
      <c r="I267" s="858" t="s">
        <v>78</v>
      </c>
      <c r="J267" s="858"/>
      <c r="K267" s="858"/>
      <c r="L267" s="858" t="s">
        <v>79</v>
      </c>
      <c r="M267" s="858"/>
      <c r="N267" s="858"/>
      <c r="O267" s="858"/>
    </row>
    <row r="268" spans="1:15" ht="230.25" customHeight="1" x14ac:dyDescent="0.25">
      <c r="A268" s="5"/>
      <c r="G268" s="858"/>
      <c r="H268" s="858"/>
      <c r="I268" s="59" t="s">
        <v>217</v>
      </c>
      <c r="J268" s="59" t="s">
        <v>218</v>
      </c>
      <c r="K268" s="59" t="s">
        <v>219</v>
      </c>
      <c r="L268" s="858"/>
      <c r="M268" s="858"/>
      <c r="N268" s="858"/>
      <c r="O268" s="858"/>
    </row>
    <row r="269" spans="1:15" ht="74.25" customHeight="1" x14ac:dyDescent="0.25">
      <c r="A269" s="5"/>
      <c r="G269" s="859">
        <v>2011</v>
      </c>
      <c r="H269" s="169" t="s">
        <v>557</v>
      </c>
      <c r="I269" s="88">
        <v>208</v>
      </c>
      <c r="J269" s="88">
        <v>204</v>
      </c>
      <c r="K269" s="90">
        <f t="shared" ref="K269:K276" si="14">+I269/J269</f>
        <v>1.0196078431372548</v>
      </c>
      <c r="L269" s="993" t="s">
        <v>664</v>
      </c>
      <c r="M269" s="994"/>
      <c r="N269" s="994"/>
      <c r="O269" s="995"/>
    </row>
    <row r="270" spans="1:15" ht="74.25" customHeight="1" x14ac:dyDescent="0.25">
      <c r="A270" s="5"/>
      <c r="G270" s="859"/>
      <c r="H270" s="169" t="s">
        <v>558</v>
      </c>
      <c r="I270" s="88">
        <v>90</v>
      </c>
      <c r="J270" s="88">
        <v>64</v>
      </c>
      <c r="K270" s="90">
        <f t="shared" si="14"/>
        <v>1.40625</v>
      </c>
      <c r="L270" s="993"/>
      <c r="M270" s="994"/>
      <c r="N270" s="994"/>
      <c r="O270" s="995"/>
    </row>
    <row r="271" spans="1:15" ht="74.25" customHeight="1" x14ac:dyDescent="0.25">
      <c r="A271" s="5"/>
      <c r="G271" s="859">
        <v>2012</v>
      </c>
      <c r="H271" s="169" t="s">
        <v>557</v>
      </c>
      <c r="I271" s="88">
        <v>214</v>
      </c>
      <c r="J271" s="88">
        <v>216</v>
      </c>
      <c r="K271" s="90">
        <f t="shared" si="14"/>
        <v>0.9907407407407407</v>
      </c>
      <c r="L271" s="993" t="s">
        <v>664</v>
      </c>
      <c r="M271" s="994"/>
      <c r="N271" s="994"/>
      <c r="O271" s="995"/>
    </row>
    <row r="272" spans="1:15" ht="74.25" customHeight="1" x14ac:dyDescent="0.25">
      <c r="A272" s="5"/>
      <c r="G272" s="859"/>
      <c r="H272" s="169" t="s">
        <v>559</v>
      </c>
      <c r="I272" s="88">
        <v>70</v>
      </c>
      <c r="J272" s="88">
        <v>68</v>
      </c>
      <c r="K272" s="90">
        <f t="shared" si="14"/>
        <v>1.0294117647058822</v>
      </c>
      <c r="L272" s="993"/>
      <c r="M272" s="994"/>
      <c r="N272" s="994"/>
      <c r="O272" s="995"/>
    </row>
    <row r="273" spans="1:15" ht="74.25" customHeight="1" x14ac:dyDescent="0.25">
      <c r="A273" s="5"/>
      <c r="G273" s="859">
        <v>2013</v>
      </c>
      <c r="H273" s="169" t="s">
        <v>557</v>
      </c>
      <c r="I273" s="88">
        <v>182</v>
      </c>
      <c r="J273" s="88">
        <v>222</v>
      </c>
      <c r="K273" s="90">
        <f t="shared" si="14"/>
        <v>0.81981981981981977</v>
      </c>
      <c r="L273" s="993" t="s">
        <v>664</v>
      </c>
      <c r="M273" s="994"/>
      <c r="N273" s="994"/>
      <c r="O273" s="995"/>
    </row>
    <row r="274" spans="1:15" ht="74.25" customHeight="1" x14ac:dyDescent="0.25">
      <c r="A274" s="5"/>
      <c r="G274" s="859"/>
      <c r="H274" s="169" t="s">
        <v>559</v>
      </c>
      <c r="I274" s="88">
        <v>95</v>
      </c>
      <c r="J274" s="88">
        <v>70</v>
      </c>
      <c r="K274" s="90">
        <f t="shared" si="14"/>
        <v>1.3571428571428572</v>
      </c>
      <c r="L274" s="993"/>
      <c r="M274" s="994"/>
      <c r="N274" s="994"/>
      <c r="O274" s="995"/>
    </row>
    <row r="275" spans="1:15" ht="74.25" customHeight="1" x14ac:dyDescent="0.25">
      <c r="A275" s="5"/>
      <c r="G275" s="859">
        <v>2014</v>
      </c>
      <c r="H275" s="169" t="s">
        <v>557</v>
      </c>
      <c r="I275" s="88">
        <v>113</v>
      </c>
      <c r="J275" s="88">
        <v>163</v>
      </c>
      <c r="K275" s="90">
        <f t="shared" si="14"/>
        <v>0.69325153374233128</v>
      </c>
      <c r="L275" s="993" t="s">
        <v>666</v>
      </c>
      <c r="M275" s="994"/>
      <c r="N275" s="994"/>
      <c r="O275" s="995"/>
    </row>
    <row r="276" spans="1:15" ht="74.25" customHeight="1" x14ac:dyDescent="0.25">
      <c r="A276" s="5"/>
      <c r="G276" s="859"/>
      <c r="H276" s="169" t="s">
        <v>559</v>
      </c>
      <c r="I276" s="88">
        <v>62</v>
      </c>
      <c r="J276" s="88">
        <v>51</v>
      </c>
      <c r="K276" s="90">
        <f t="shared" si="14"/>
        <v>1.2156862745098038</v>
      </c>
      <c r="L276" s="993"/>
      <c r="M276" s="994"/>
      <c r="N276" s="994"/>
      <c r="O276" s="995"/>
    </row>
    <row r="277" spans="1:15" ht="74.25" customHeight="1" x14ac:dyDescent="0.25">
      <c r="A277" s="5"/>
      <c r="G277" s="859">
        <v>2015</v>
      </c>
      <c r="H277" s="169" t="s">
        <v>557</v>
      </c>
      <c r="I277" s="88">
        <v>86</v>
      </c>
      <c r="J277" s="88">
        <f>216*80%</f>
        <v>172.8</v>
      </c>
      <c r="K277" s="90">
        <f>+I277/J277</f>
        <v>0.49768518518518517</v>
      </c>
      <c r="L277" s="874" t="s">
        <v>797</v>
      </c>
      <c r="M277" s="875"/>
      <c r="N277" s="875"/>
      <c r="O277" s="876"/>
    </row>
    <row r="278" spans="1:15" ht="74.25" customHeight="1" x14ac:dyDescent="0.25">
      <c r="A278" s="5"/>
      <c r="G278" s="859"/>
      <c r="H278" s="169" t="s">
        <v>559</v>
      </c>
      <c r="I278" s="88">
        <v>40</v>
      </c>
      <c r="J278" s="88">
        <f>216*25%</f>
        <v>54</v>
      </c>
      <c r="K278" s="90">
        <f>+I278/J278</f>
        <v>0.7407407407407407</v>
      </c>
      <c r="L278" s="874"/>
      <c r="M278" s="875"/>
      <c r="N278" s="875"/>
      <c r="O278" s="876"/>
    </row>
    <row r="279" spans="1:15" ht="34.5" customHeight="1" x14ac:dyDescent="0.25">
      <c r="A279" s="5"/>
      <c r="G279" s="170"/>
      <c r="H279" s="171"/>
      <c r="I279" s="172"/>
      <c r="J279" s="172"/>
      <c r="K279" s="173"/>
      <c r="L279" s="159"/>
      <c r="M279" s="159"/>
      <c r="N279" s="159"/>
      <c r="O279" s="160"/>
    </row>
    <row r="280" spans="1:15" ht="35.25" customHeight="1" x14ac:dyDescent="0.25">
      <c r="A280" s="853" t="str">
        <f>+D24</f>
        <v>PORCENTAJE (%) DE ENCUESTA DE SATISFACCIÓN CALIFICADAS POR LOS USUARIOS DE TRÁMITES AMBIENTALES RESUELTOS CON UNA NOTA SUPERIOR O IGUAL A  CUATRO (4,0) SOBRE CINCO (5.0).</v>
      </c>
      <c r="B280" s="854"/>
      <c r="C280" s="854"/>
      <c r="D280" s="854"/>
      <c r="E280" s="854"/>
      <c r="F280" s="854"/>
      <c r="G280" s="854"/>
      <c r="H280" s="854"/>
      <c r="I280" s="854"/>
      <c r="J280" s="854"/>
      <c r="K280" s="854"/>
      <c r="L280" s="854"/>
      <c r="M280" s="854"/>
      <c r="N280" s="854"/>
      <c r="O280" s="855"/>
    </row>
    <row r="282" spans="1:15" ht="32.25" customHeight="1" x14ac:dyDescent="0.25">
      <c r="A282" s="26"/>
      <c r="G282" s="39">
        <v>2012</v>
      </c>
      <c r="H282" s="39">
        <v>2013</v>
      </c>
      <c r="I282" s="39">
        <v>2014</v>
      </c>
      <c r="J282" s="39">
        <v>2015</v>
      </c>
      <c r="K282" s="39">
        <v>2016</v>
      </c>
    </row>
    <row r="283" spans="1:15" ht="32.25" customHeight="1" x14ac:dyDescent="0.45">
      <c r="A283" s="856" t="s">
        <v>532</v>
      </c>
      <c r="B283" s="857"/>
      <c r="C283" s="857"/>
      <c r="D283" s="857"/>
      <c r="E283" s="857"/>
      <c r="F283" s="1012"/>
      <c r="G283" s="32">
        <v>0.94</v>
      </c>
      <c r="H283" s="32">
        <v>0.96</v>
      </c>
      <c r="I283" s="156">
        <v>0.86</v>
      </c>
      <c r="J283" s="191"/>
      <c r="K283" s="191">
        <f t="shared" ref="K283:K288" si="15">+K310</f>
        <v>1</v>
      </c>
    </row>
    <row r="284" spans="1:15" ht="32.25" customHeight="1" x14ac:dyDescent="0.45">
      <c r="A284" s="856" t="s">
        <v>529</v>
      </c>
      <c r="B284" s="857"/>
      <c r="C284" s="857"/>
      <c r="D284" s="857"/>
      <c r="E284" s="857"/>
      <c r="F284" s="1012"/>
      <c r="G284" s="32"/>
      <c r="H284" s="32"/>
      <c r="I284" s="156"/>
      <c r="J284" s="191">
        <f>+K308</f>
        <v>1</v>
      </c>
      <c r="K284" s="191">
        <f t="shared" si="15"/>
        <v>1</v>
      </c>
    </row>
    <row r="285" spans="1:15" ht="32.25" customHeight="1" x14ac:dyDescent="0.45">
      <c r="A285" s="856" t="s">
        <v>530</v>
      </c>
      <c r="B285" s="857"/>
      <c r="C285" s="857"/>
      <c r="D285" s="857"/>
      <c r="E285" s="857"/>
      <c r="F285" s="1012"/>
      <c r="G285" s="32"/>
      <c r="H285" s="32"/>
      <c r="I285" s="156"/>
      <c r="J285" s="191">
        <f>+K305</f>
        <v>1</v>
      </c>
      <c r="K285" s="191">
        <f t="shared" si="15"/>
        <v>0.9375</v>
      </c>
    </row>
    <row r="286" spans="1:15" ht="32.25" customHeight="1" x14ac:dyDescent="0.45">
      <c r="A286" s="856" t="s">
        <v>528</v>
      </c>
      <c r="B286" s="857"/>
      <c r="C286" s="857"/>
      <c r="D286" s="857"/>
      <c r="E286" s="857"/>
      <c r="F286" s="1012"/>
      <c r="G286" s="32"/>
      <c r="H286" s="32"/>
      <c r="I286" s="156"/>
      <c r="J286" s="191">
        <f>+K306</f>
        <v>1</v>
      </c>
      <c r="K286" s="191">
        <f t="shared" si="15"/>
        <v>0.90909090909090906</v>
      </c>
    </row>
    <row r="287" spans="1:15" ht="32.25" customHeight="1" x14ac:dyDescent="0.45">
      <c r="A287" s="856" t="s">
        <v>531</v>
      </c>
      <c r="B287" s="857"/>
      <c r="C287" s="857"/>
      <c r="D287" s="857"/>
      <c r="E287" s="857"/>
      <c r="F287" s="1012"/>
      <c r="G287" s="32"/>
      <c r="H287" s="32"/>
      <c r="I287" s="156"/>
      <c r="J287" s="191">
        <f>+K307</f>
        <v>0.5</v>
      </c>
      <c r="K287" s="191">
        <f t="shared" si="15"/>
        <v>0.9</v>
      </c>
    </row>
    <row r="288" spans="1:15" ht="45" customHeight="1" x14ac:dyDescent="0.45">
      <c r="A288" s="856" t="s">
        <v>533</v>
      </c>
      <c r="B288" s="857"/>
      <c r="C288" s="857"/>
      <c r="D288" s="857"/>
      <c r="E288" s="857"/>
      <c r="F288" s="1012"/>
      <c r="G288" s="32">
        <v>0.97</v>
      </c>
      <c r="H288" s="32">
        <v>0.98</v>
      </c>
      <c r="I288" s="156">
        <v>0.97</v>
      </c>
      <c r="J288" s="191">
        <f>+K309</f>
        <v>0.88888888888888884</v>
      </c>
      <c r="K288" s="191">
        <f t="shared" si="15"/>
        <v>0.9285714285714286</v>
      </c>
    </row>
    <row r="289" spans="1:15" ht="32.25" customHeight="1" x14ac:dyDescent="0.45">
      <c r="A289" s="856" t="s">
        <v>76</v>
      </c>
      <c r="B289" s="857"/>
      <c r="C289" s="857"/>
      <c r="D289" s="857"/>
      <c r="E289" s="857"/>
      <c r="F289" s="1012"/>
      <c r="G289" s="32">
        <v>0.9</v>
      </c>
      <c r="H289" s="32">
        <v>0.9</v>
      </c>
      <c r="I289" s="156">
        <v>0.9</v>
      </c>
      <c r="J289" s="191">
        <v>0.9</v>
      </c>
      <c r="K289" s="191">
        <v>0.9</v>
      </c>
    </row>
    <row r="290" spans="1:15" x14ac:dyDescent="0.25">
      <c r="A290" s="5"/>
    </row>
    <row r="291" spans="1:15" ht="17.5" x14ac:dyDescent="0.25">
      <c r="A291" s="5"/>
      <c r="B291" s="28"/>
      <c r="C291" s="28"/>
      <c r="D291" s="28"/>
      <c r="G291" s="858" t="s">
        <v>77</v>
      </c>
      <c r="H291" s="858"/>
      <c r="I291" s="858" t="s">
        <v>78</v>
      </c>
      <c r="J291" s="858"/>
      <c r="K291" s="858"/>
      <c r="L291" s="858" t="s">
        <v>79</v>
      </c>
      <c r="M291" s="858"/>
      <c r="N291" s="858"/>
      <c r="O291" s="858"/>
    </row>
    <row r="292" spans="1:15" ht="230.25" customHeight="1" x14ac:dyDescent="0.25">
      <c r="A292" s="5"/>
      <c r="G292" s="858"/>
      <c r="H292" s="858"/>
      <c r="I292" s="59" t="s">
        <v>804</v>
      </c>
      <c r="J292" s="59" t="s">
        <v>220</v>
      </c>
      <c r="K292" s="59" t="s">
        <v>805</v>
      </c>
      <c r="L292" s="858"/>
      <c r="M292" s="858"/>
      <c r="N292" s="858"/>
      <c r="O292" s="858"/>
    </row>
    <row r="293" spans="1:15" ht="36.75" customHeight="1" x14ac:dyDescent="0.3">
      <c r="B293" s="29"/>
      <c r="C293" s="30"/>
      <c r="D293" s="30"/>
      <c r="G293" s="859">
        <v>2009</v>
      </c>
      <c r="H293" s="859"/>
      <c r="I293" s="45">
        <v>35</v>
      </c>
      <c r="J293" s="45">
        <v>44</v>
      </c>
      <c r="K293" s="60">
        <f t="shared" ref="K293:K303" si="16">+I293/J293</f>
        <v>0.79545454545454541</v>
      </c>
      <c r="L293" s="873" t="s">
        <v>221</v>
      </c>
      <c r="M293" s="873"/>
      <c r="N293" s="873"/>
      <c r="O293" s="873"/>
    </row>
    <row r="294" spans="1:15" ht="36.75" customHeight="1" x14ac:dyDescent="0.3">
      <c r="B294" s="29"/>
      <c r="C294" s="30"/>
      <c r="D294" s="30"/>
      <c r="G294" s="859">
        <v>2010</v>
      </c>
      <c r="H294" s="859"/>
      <c r="I294" s="45">
        <v>17</v>
      </c>
      <c r="J294" s="45">
        <v>20</v>
      </c>
      <c r="K294" s="60">
        <f t="shared" si="16"/>
        <v>0.85</v>
      </c>
      <c r="L294" s="873" t="s">
        <v>221</v>
      </c>
      <c r="M294" s="873"/>
      <c r="N294" s="873"/>
      <c r="O294" s="873"/>
    </row>
    <row r="295" spans="1:15" ht="36.75" customHeight="1" x14ac:dyDescent="0.3">
      <c r="B295" s="29"/>
      <c r="C295" s="30"/>
      <c r="D295" s="30"/>
      <c r="G295" s="859">
        <v>2011</v>
      </c>
      <c r="H295" s="859"/>
      <c r="I295" s="45">
        <v>29</v>
      </c>
      <c r="J295" s="45">
        <v>34</v>
      </c>
      <c r="K295" s="60">
        <f t="shared" si="16"/>
        <v>0.8529411764705882</v>
      </c>
      <c r="L295" s="873" t="s">
        <v>221</v>
      </c>
      <c r="M295" s="873"/>
      <c r="N295" s="873"/>
      <c r="O295" s="873"/>
    </row>
    <row r="296" spans="1:15" ht="132" customHeight="1" x14ac:dyDescent="0.3">
      <c r="B296" s="29"/>
      <c r="C296" s="30"/>
      <c r="D296" s="30"/>
      <c r="G296" s="859">
        <v>2012</v>
      </c>
      <c r="H296" s="859"/>
      <c r="I296" s="45">
        <v>38</v>
      </c>
      <c r="J296" s="45">
        <v>39</v>
      </c>
      <c r="K296" s="60">
        <f t="shared" si="16"/>
        <v>0.97435897435897434</v>
      </c>
      <c r="L296" s="873" t="s">
        <v>568</v>
      </c>
      <c r="M296" s="873"/>
      <c r="N296" s="873"/>
      <c r="O296" s="873"/>
    </row>
    <row r="297" spans="1:15" ht="409.5" customHeight="1" x14ac:dyDescent="0.3">
      <c r="B297" s="29"/>
      <c r="C297" s="30"/>
      <c r="D297" s="30"/>
      <c r="G297" s="859">
        <v>2013</v>
      </c>
      <c r="H297" s="859"/>
      <c r="I297" s="45">
        <v>58</v>
      </c>
      <c r="J297" s="45">
        <v>59</v>
      </c>
      <c r="K297" s="60">
        <f t="shared" si="16"/>
        <v>0.98305084745762716</v>
      </c>
      <c r="L297" s="873" t="s">
        <v>567</v>
      </c>
      <c r="M297" s="873"/>
      <c r="N297" s="873"/>
      <c r="O297" s="873"/>
    </row>
    <row r="298" spans="1:15" ht="41.25" customHeight="1" x14ac:dyDescent="0.25">
      <c r="G298" s="880">
        <v>2014</v>
      </c>
      <c r="H298" s="34" t="s">
        <v>560</v>
      </c>
      <c r="I298" s="163">
        <v>6</v>
      </c>
      <c r="J298" s="163">
        <v>7</v>
      </c>
      <c r="K298" s="155">
        <f t="shared" si="16"/>
        <v>0.8571428571428571</v>
      </c>
      <c r="L298" s="869" t="s">
        <v>566</v>
      </c>
      <c r="M298" s="869"/>
      <c r="N298" s="869"/>
      <c r="O298" s="869"/>
    </row>
    <row r="299" spans="1:15" ht="48.75" customHeight="1" x14ac:dyDescent="0.25">
      <c r="G299" s="881"/>
      <c r="H299" s="34" t="s">
        <v>563</v>
      </c>
      <c r="I299" s="163">
        <v>6</v>
      </c>
      <c r="J299" s="163">
        <v>6</v>
      </c>
      <c r="K299" s="155">
        <f t="shared" si="16"/>
        <v>1</v>
      </c>
      <c r="L299" s="869" t="s">
        <v>562</v>
      </c>
      <c r="M299" s="869"/>
      <c r="N299" s="869"/>
      <c r="O299" s="869"/>
    </row>
    <row r="300" spans="1:15" ht="153.75" customHeight="1" x14ac:dyDescent="0.25">
      <c r="G300" s="881"/>
      <c r="H300" s="34" t="s">
        <v>564</v>
      </c>
      <c r="I300" s="163">
        <v>8</v>
      </c>
      <c r="J300" s="163">
        <v>8</v>
      </c>
      <c r="K300" s="155">
        <f t="shared" si="16"/>
        <v>1</v>
      </c>
      <c r="L300" s="869" t="s">
        <v>570</v>
      </c>
      <c r="M300" s="869"/>
      <c r="N300" s="869"/>
      <c r="O300" s="869"/>
    </row>
    <row r="301" spans="1:15" ht="59.25" customHeight="1" x14ac:dyDescent="0.25">
      <c r="G301" s="881"/>
      <c r="H301" s="34" t="s">
        <v>80</v>
      </c>
      <c r="I301" s="163">
        <v>8</v>
      </c>
      <c r="J301" s="163">
        <v>8</v>
      </c>
      <c r="K301" s="155">
        <f t="shared" si="16"/>
        <v>1</v>
      </c>
      <c r="L301" s="869" t="s">
        <v>561</v>
      </c>
      <c r="M301" s="869"/>
      <c r="N301" s="869"/>
      <c r="O301" s="869"/>
    </row>
    <row r="302" spans="1:15" ht="41.25" customHeight="1" x14ac:dyDescent="0.25">
      <c r="G302" s="881"/>
      <c r="H302" s="34" t="s">
        <v>565</v>
      </c>
      <c r="I302" s="163">
        <v>3</v>
      </c>
      <c r="J302" s="163">
        <v>3</v>
      </c>
      <c r="K302" s="155">
        <f t="shared" si="16"/>
        <v>1</v>
      </c>
      <c r="L302" s="869" t="s">
        <v>566</v>
      </c>
      <c r="M302" s="869"/>
      <c r="N302" s="869"/>
      <c r="O302" s="869"/>
    </row>
    <row r="303" spans="1:15" ht="17.5" x14ac:dyDescent="0.25">
      <c r="G303" s="882"/>
      <c r="H303" s="162" t="s">
        <v>81</v>
      </c>
      <c r="I303" s="35">
        <f>SUM(I298:I302)</f>
        <v>31</v>
      </c>
      <c r="J303" s="35">
        <f>SUM(J298:J302)</f>
        <v>32</v>
      </c>
      <c r="K303" s="33">
        <f t="shared" si="16"/>
        <v>0.96875</v>
      </c>
      <c r="L303" s="883"/>
      <c r="M303" s="883"/>
      <c r="N303" s="883"/>
      <c r="O303" s="884"/>
    </row>
    <row r="304" spans="1:15" ht="50.25" customHeight="1" x14ac:dyDescent="0.25">
      <c r="G304" s="880">
        <v>2015</v>
      </c>
      <c r="H304" s="34" t="s">
        <v>560</v>
      </c>
      <c r="I304" s="261">
        <v>0</v>
      </c>
      <c r="J304" s="261">
        <v>1</v>
      </c>
      <c r="K304" s="33">
        <f t="shared" ref="K304:K309" si="17">+I304/J304</f>
        <v>0</v>
      </c>
      <c r="L304" s="860" t="s">
        <v>828</v>
      </c>
      <c r="M304" s="860"/>
      <c r="N304" s="860"/>
      <c r="O304" s="860"/>
    </row>
    <row r="305" spans="1:15" ht="57.75" customHeight="1" x14ac:dyDescent="0.25">
      <c r="G305" s="881"/>
      <c r="H305" s="34" t="s">
        <v>563</v>
      </c>
      <c r="I305" s="261">
        <v>6</v>
      </c>
      <c r="J305" s="261">
        <v>6</v>
      </c>
      <c r="K305" s="33">
        <f t="shared" si="17"/>
        <v>1</v>
      </c>
      <c r="L305" s="860" t="s">
        <v>814</v>
      </c>
      <c r="M305" s="860"/>
      <c r="N305" s="860"/>
      <c r="O305" s="860"/>
    </row>
    <row r="306" spans="1:15" ht="57" customHeight="1" x14ac:dyDescent="0.25">
      <c r="G306" s="881"/>
      <c r="H306" s="34" t="s">
        <v>564</v>
      </c>
      <c r="I306" s="261">
        <v>5</v>
      </c>
      <c r="J306" s="261">
        <v>5</v>
      </c>
      <c r="K306" s="33">
        <f t="shared" si="17"/>
        <v>1</v>
      </c>
      <c r="L306" s="860" t="s">
        <v>812</v>
      </c>
      <c r="M306" s="860"/>
      <c r="N306" s="860"/>
      <c r="O306" s="860"/>
    </row>
    <row r="307" spans="1:15" ht="24" customHeight="1" x14ac:dyDescent="0.25">
      <c r="G307" s="881"/>
      <c r="H307" s="34" t="s">
        <v>80</v>
      </c>
      <c r="I307" s="261">
        <v>3</v>
      </c>
      <c r="J307" s="261">
        <v>6</v>
      </c>
      <c r="K307" s="33">
        <f t="shared" si="17"/>
        <v>0.5</v>
      </c>
      <c r="L307" s="870" t="s">
        <v>808</v>
      </c>
      <c r="M307" s="870"/>
      <c r="N307" s="870"/>
      <c r="O307" s="870"/>
    </row>
    <row r="308" spans="1:15" ht="69.75" customHeight="1" x14ac:dyDescent="0.25">
      <c r="G308" s="881"/>
      <c r="H308" s="34" t="s">
        <v>565</v>
      </c>
      <c r="I308" s="261">
        <v>18</v>
      </c>
      <c r="J308" s="261">
        <v>18</v>
      </c>
      <c r="K308" s="33">
        <f t="shared" si="17"/>
        <v>1</v>
      </c>
      <c r="L308" s="860" t="s">
        <v>813</v>
      </c>
      <c r="M308" s="860"/>
      <c r="N308" s="860"/>
      <c r="O308" s="860"/>
    </row>
    <row r="309" spans="1:15" ht="17.5" x14ac:dyDescent="0.25">
      <c r="G309" s="882"/>
      <c r="H309" s="205" t="s">
        <v>81</v>
      </c>
      <c r="I309" s="35">
        <f>SUM(I304:I308)</f>
        <v>32</v>
      </c>
      <c r="J309" s="35">
        <f>SUM(J304:J308)</f>
        <v>36</v>
      </c>
      <c r="K309" s="33">
        <f t="shared" si="17"/>
        <v>0.88888888888888884</v>
      </c>
      <c r="L309" s="883"/>
      <c r="M309" s="883"/>
      <c r="N309" s="883"/>
      <c r="O309" s="884"/>
    </row>
    <row r="310" spans="1:15" ht="50.25" customHeight="1" x14ac:dyDescent="0.25">
      <c r="G310" s="880">
        <v>2016</v>
      </c>
      <c r="H310" s="34" t="s">
        <v>560</v>
      </c>
      <c r="I310" s="292">
        <v>1</v>
      </c>
      <c r="J310" s="292">
        <v>1</v>
      </c>
      <c r="K310" s="33">
        <f t="shared" ref="K310:K315" si="18">+I310/J310</f>
        <v>1</v>
      </c>
      <c r="L310" s="860" t="s">
        <v>895</v>
      </c>
      <c r="M310" s="860"/>
      <c r="N310" s="860"/>
      <c r="O310" s="860"/>
    </row>
    <row r="311" spans="1:15" ht="57.75" customHeight="1" x14ac:dyDescent="0.25">
      <c r="G311" s="881"/>
      <c r="H311" s="34" t="s">
        <v>563</v>
      </c>
      <c r="I311" s="292">
        <v>4</v>
      </c>
      <c r="J311" s="292">
        <v>4</v>
      </c>
      <c r="K311" s="33">
        <f t="shared" si="18"/>
        <v>1</v>
      </c>
      <c r="L311" s="860"/>
      <c r="M311" s="860"/>
      <c r="N311" s="860"/>
      <c r="O311" s="860"/>
    </row>
    <row r="312" spans="1:15" ht="57" customHeight="1" x14ac:dyDescent="0.25">
      <c r="G312" s="881"/>
      <c r="H312" s="34" t="s">
        <v>564</v>
      </c>
      <c r="I312" s="292">
        <v>15</v>
      </c>
      <c r="J312" s="292">
        <v>16</v>
      </c>
      <c r="K312" s="33">
        <f t="shared" si="18"/>
        <v>0.9375</v>
      </c>
      <c r="L312" s="860"/>
      <c r="M312" s="860"/>
      <c r="N312" s="860"/>
      <c r="O312" s="860"/>
    </row>
    <row r="313" spans="1:15" ht="24" customHeight="1" x14ac:dyDescent="0.25">
      <c r="G313" s="881"/>
      <c r="H313" s="34" t="s">
        <v>80</v>
      </c>
      <c r="I313" s="292">
        <v>10</v>
      </c>
      <c r="J313" s="292">
        <v>11</v>
      </c>
      <c r="K313" s="33">
        <f t="shared" si="18"/>
        <v>0.90909090909090906</v>
      </c>
      <c r="L313" s="870" t="s">
        <v>896</v>
      </c>
      <c r="M313" s="870"/>
      <c r="N313" s="870"/>
      <c r="O313" s="870"/>
    </row>
    <row r="314" spans="1:15" ht="69.75" customHeight="1" x14ac:dyDescent="0.25">
      <c r="G314" s="881"/>
      <c r="H314" s="34" t="s">
        <v>565</v>
      </c>
      <c r="I314" s="292">
        <v>9</v>
      </c>
      <c r="J314" s="292">
        <v>10</v>
      </c>
      <c r="K314" s="33">
        <f t="shared" si="18"/>
        <v>0.9</v>
      </c>
      <c r="L314" s="860" t="s">
        <v>897</v>
      </c>
      <c r="M314" s="860"/>
      <c r="N314" s="860"/>
      <c r="O314" s="860"/>
    </row>
    <row r="315" spans="1:15" ht="17.5" x14ac:dyDescent="0.25">
      <c r="G315" s="882"/>
      <c r="H315" s="297" t="s">
        <v>81</v>
      </c>
      <c r="I315" s="35">
        <f>SUM(I310:I314)</f>
        <v>39</v>
      </c>
      <c r="J315" s="35">
        <f>SUM(J310:J314)</f>
        <v>42</v>
      </c>
      <c r="K315" s="33">
        <f t="shared" si="18"/>
        <v>0.9285714285714286</v>
      </c>
      <c r="L315" s="883"/>
      <c r="M315" s="883"/>
      <c r="N315" s="883"/>
      <c r="O315" s="884"/>
    </row>
    <row r="318" spans="1:15" ht="20" x14ac:dyDescent="0.25">
      <c r="A318" s="853" t="str">
        <f>+D27</f>
        <v>PORCENTAJE (%)  DE ACCIONES CORRECTIVAS DE SERVICIOS NO CONFORMES ESTABLECIDAS  EFICAZMENTE.</v>
      </c>
      <c r="B318" s="854"/>
      <c r="C318" s="854"/>
      <c r="D318" s="854"/>
      <c r="E318" s="854"/>
      <c r="F318" s="854"/>
      <c r="G318" s="854"/>
      <c r="H318" s="854"/>
      <c r="I318" s="854"/>
      <c r="J318" s="854"/>
      <c r="K318" s="854"/>
      <c r="L318" s="854"/>
      <c r="M318" s="854"/>
      <c r="N318" s="854"/>
      <c r="O318" s="855"/>
    </row>
    <row r="320" spans="1:15" ht="23" x14ac:dyDescent="0.45">
      <c r="A320" s="26"/>
      <c r="G320" s="31">
        <v>2012</v>
      </c>
      <c r="H320" s="31">
        <v>2013</v>
      </c>
      <c r="I320" s="31">
        <v>2014</v>
      </c>
      <c r="J320" s="31">
        <v>2015</v>
      </c>
    </row>
    <row r="321" spans="1:15" ht="23" x14ac:dyDescent="0.45">
      <c r="A321" s="866" t="s">
        <v>135</v>
      </c>
      <c r="B321" s="867"/>
      <c r="C321" s="867"/>
      <c r="D321" s="867"/>
      <c r="E321" s="867"/>
      <c r="F321" s="867"/>
      <c r="G321" s="32">
        <v>0.86</v>
      </c>
      <c r="H321" s="32">
        <v>0.5</v>
      </c>
      <c r="I321" s="191">
        <v>0.5</v>
      </c>
      <c r="J321" s="191">
        <f>+K333</f>
        <v>1</v>
      </c>
    </row>
    <row r="322" spans="1:15" ht="23" x14ac:dyDescent="0.45">
      <c r="A322" s="93" t="s">
        <v>76</v>
      </c>
      <c r="B322" s="94"/>
      <c r="C322" s="94"/>
      <c r="D322" s="94"/>
      <c r="E322" s="94"/>
      <c r="F322" s="94"/>
      <c r="G322" s="32">
        <v>0.9</v>
      </c>
      <c r="H322" s="32">
        <v>0.9</v>
      </c>
      <c r="I322" s="32">
        <v>0.9</v>
      </c>
      <c r="J322" s="32">
        <v>0.9</v>
      </c>
    </row>
    <row r="323" spans="1:15" x14ac:dyDescent="0.25">
      <c r="A323" s="5"/>
    </row>
    <row r="324" spans="1:15" ht="17.5" x14ac:dyDescent="0.25">
      <c r="A324" s="5"/>
      <c r="B324" s="28"/>
      <c r="C324" s="28"/>
      <c r="D324" s="28"/>
      <c r="G324" s="858" t="s">
        <v>77</v>
      </c>
      <c r="H324" s="858"/>
      <c r="I324" s="858" t="s">
        <v>78</v>
      </c>
      <c r="J324" s="858"/>
      <c r="K324" s="858"/>
      <c r="L324" s="858" t="s">
        <v>79</v>
      </c>
      <c r="M324" s="858"/>
      <c r="N324" s="858"/>
      <c r="O324" s="858"/>
    </row>
    <row r="325" spans="1:15" ht="105" x14ac:dyDescent="0.25">
      <c r="A325" s="5"/>
      <c r="G325" s="858"/>
      <c r="H325" s="858"/>
      <c r="I325" s="59" t="s">
        <v>136</v>
      </c>
      <c r="J325" s="59" t="s">
        <v>137</v>
      </c>
      <c r="K325" s="59" t="s">
        <v>138</v>
      </c>
      <c r="L325" s="858"/>
      <c r="M325" s="858"/>
      <c r="N325" s="858"/>
      <c r="O325" s="858"/>
    </row>
    <row r="326" spans="1:15" ht="85.5" customHeight="1" x14ac:dyDescent="0.3">
      <c r="B326" s="29"/>
      <c r="C326" s="30"/>
      <c r="D326" s="30"/>
      <c r="G326" s="859">
        <v>2012</v>
      </c>
      <c r="H326" s="859"/>
      <c r="I326" s="873" t="s">
        <v>222</v>
      </c>
      <c r="J326" s="873"/>
      <c r="K326" s="873"/>
      <c r="L326" s="873" t="s">
        <v>223</v>
      </c>
      <c r="M326" s="873"/>
      <c r="N326" s="873"/>
      <c r="O326" s="873"/>
    </row>
    <row r="327" spans="1:15" ht="159" customHeight="1" x14ac:dyDescent="0.3">
      <c r="B327" s="29"/>
      <c r="C327" s="30"/>
      <c r="D327" s="30"/>
      <c r="G327" s="859">
        <v>2013</v>
      </c>
      <c r="H327" s="859"/>
      <c r="I327" s="147">
        <v>2</v>
      </c>
      <c r="J327" s="147">
        <v>4</v>
      </c>
      <c r="K327" s="153">
        <f t="shared" ref="K327:K333" si="19">+I327/J327</f>
        <v>0.5</v>
      </c>
      <c r="L327" s="873" t="s">
        <v>523</v>
      </c>
      <c r="M327" s="873"/>
      <c r="N327" s="873"/>
      <c r="O327" s="873"/>
    </row>
    <row r="328" spans="1:15" ht="63" customHeight="1" x14ac:dyDescent="0.3">
      <c r="B328" s="29"/>
      <c r="C328" s="30"/>
      <c r="D328" s="30"/>
      <c r="G328" s="859">
        <v>2014</v>
      </c>
      <c r="H328" s="45" t="s">
        <v>141</v>
      </c>
      <c r="I328" s="194">
        <v>2</v>
      </c>
      <c r="J328" s="194">
        <v>4</v>
      </c>
      <c r="K328" s="153">
        <f t="shared" si="19"/>
        <v>0.5</v>
      </c>
      <c r="L328" s="1003" t="s">
        <v>669</v>
      </c>
      <c r="M328" s="1004"/>
      <c r="N328" s="1004"/>
      <c r="O328" s="1005"/>
    </row>
    <row r="329" spans="1:15" ht="81" customHeight="1" x14ac:dyDescent="0.3">
      <c r="B329" s="29"/>
      <c r="C329" s="30"/>
      <c r="D329" s="30"/>
      <c r="G329" s="859"/>
      <c r="H329" s="45" t="s">
        <v>142</v>
      </c>
      <c r="I329" s="194"/>
      <c r="J329" s="194"/>
      <c r="K329" s="153" t="e">
        <f t="shared" si="19"/>
        <v>#DIV/0!</v>
      </c>
      <c r="L329" s="1006"/>
      <c r="M329" s="1007"/>
      <c r="N329" s="1007"/>
      <c r="O329" s="1008"/>
    </row>
    <row r="330" spans="1:15" ht="63" customHeight="1" x14ac:dyDescent="0.3">
      <c r="B330" s="29"/>
      <c r="C330" s="30"/>
      <c r="D330" s="30"/>
      <c r="G330" s="859"/>
      <c r="H330" s="45" t="s">
        <v>81</v>
      </c>
      <c r="I330" s="194">
        <f>SUM(I328:I329)</f>
        <v>2</v>
      </c>
      <c r="J330" s="194">
        <f>SUM(J328:J329)</f>
        <v>4</v>
      </c>
      <c r="K330" s="153">
        <f t="shared" si="19"/>
        <v>0.5</v>
      </c>
      <c r="L330" s="1009"/>
      <c r="M330" s="1010"/>
      <c r="N330" s="1010"/>
      <c r="O330" s="1011"/>
    </row>
    <row r="331" spans="1:15" ht="81" customHeight="1" x14ac:dyDescent="0.3">
      <c r="B331" s="29"/>
      <c r="C331" s="30"/>
      <c r="D331" s="30"/>
      <c r="G331" s="862">
        <v>2015</v>
      </c>
      <c r="H331" s="45" t="s">
        <v>141</v>
      </c>
      <c r="I331" s="262">
        <v>5</v>
      </c>
      <c r="J331" s="262">
        <v>5</v>
      </c>
      <c r="K331" s="153">
        <f t="shared" si="19"/>
        <v>1</v>
      </c>
      <c r="L331" s="1003" t="s">
        <v>806</v>
      </c>
      <c r="M331" s="1004"/>
      <c r="N331" s="1004"/>
      <c r="O331" s="1005"/>
    </row>
    <row r="332" spans="1:15" ht="63" customHeight="1" x14ac:dyDescent="0.3">
      <c r="B332" s="29"/>
      <c r="C332" s="30"/>
      <c r="D332" s="30"/>
      <c r="G332" s="932"/>
      <c r="H332" s="45" t="s">
        <v>142</v>
      </c>
      <c r="I332" s="262">
        <v>4</v>
      </c>
      <c r="J332" s="262">
        <v>4</v>
      </c>
      <c r="K332" s="153">
        <f t="shared" si="19"/>
        <v>1</v>
      </c>
      <c r="L332" s="1006"/>
      <c r="M332" s="1007"/>
      <c r="N332" s="1007"/>
      <c r="O332" s="1008"/>
    </row>
    <row r="333" spans="1:15" ht="63" customHeight="1" x14ac:dyDescent="0.3">
      <c r="B333" s="29"/>
      <c r="C333" s="30"/>
      <c r="D333" s="30"/>
      <c r="G333" s="864"/>
      <c r="H333" s="45" t="s">
        <v>81</v>
      </c>
      <c r="I333" s="206">
        <f>SUM(I331:I332)</f>
        <v>9</v>
      </c>
      <c r="J333" s="206">
        <f>SUM(J331:J332)</f>
        <v>9</v>
      </c>
      <c r="K333" s="153">
        <f t="shared" si="19"/>
        <v>1</v>
      </c>
      <c r="L333" s="1009"/>
      <c r="M333" s="1010"/>
      <c r="N333" s="1010"/>
      <c r="O333" s="1011"/>
    </row>
    <row r="336" spans="1:15" ht="22.5" customHeight="1" x14ac:dyDescent="0.25">
      <c r="A336" s="999" t="str">
        <f>+D30</f>
        <v>N° DE EVENTOS DE CAPACITACIÓN Y/O REINDUCCIÓN A LOS FUNCIONARIOS EN NORMAS, PROCEDIMIENTOS Y SOFTWARE CITA.</v>
      </c>
      <c r="B336" s="999"/>
      <c r="C336" s="999"/>
      <c r="D336" s="999"/>
      <c r="E336" s="999"/>
      <c r="F336" s="999"/>
      <c r="G336" s="999"/>
      <c r="H336" s="999"/>
      <c r="I336" s="999"/>
      <c r="J336" s="999"/>
      <c r="K336" s="999"/>
      <c r="L336" s="999"/>
      <c r="M336" s="999"/>
      <c r="N336" s="999"/>
      <c r="O336" s="999"/>
    </row>
    <row r="337" spans="1:15" x14ac:dyDescent="0.25">
      <c r="A337" s="53" t="s">
        <v>76</v>
      </c>
      <c r="B337" s="53" t="s">
        <v>95</v>
      </c>
      <c r="C337" s="872" t="s">
        <v>78</v>
      </c>
      <c r="D337" s="872"/>
      <c r="E337" s="872"/>
      <c r="F337" s="872"/>
      <c r="G337" s="872"/>
      <c r="H337" s="872" t="s">
        <v>79</v>
      </c>
      <c r="I337" s="872"/>
      <c r="J337" s="872"/>
      <c r="K337" s="872"/>
      <c r="L337" s="872"/>
      <c r="M337" s="872"/>
      <c r="N337" s="872"/>
      <c r="O337" s="872"/>
    </row>
    <row r="338" spans="1:15" ht="145.5" customHeight="1" x14ac:dyDescent="0.25">
      <c r="A338" s="95" t="s">
        <v>713</v>
      </c>
      <c r="B338" s="251">
        <v>1</v>
      </c>
      <c r="C338" s="1000" t="s">
        <v>798</v>
      </c>
      <c r="D338" s="1001"/>
      <c r="E338" s="1001"/>
      <c r="F338" s="1001"/>
      <c r="G338" s="1002"/>
      <c r="H338" s="1000" t="s">
        <v>799</v>
      </c>
      <c r="I338" s="1001"/>
      <c r="J338" s="1001"/>
      <c r="K338" s="1001"/>
      <c r="L338" s="1001"/>
      <c r="M338" s="1001"/>
      <c r="N338" s="1001"/>
      <c r="O338" s="1002"/>
    </row>
    <row r="340" spans="1:15" ht="20" x14ac:dyDescent="0.25">
      <c r="A340" s="999" t="str">
        <f>+'Hoja 11. TABLA DE CONTROL'!B44</f>
        <v xml:space="preserve">PORCENTAJE DE TRAMITES AMBIENTALES CON CUMPLIMIENTO DE TIEMPOS </v>
      </c>
      <c r="B340" s="999"/>
      <c r="C340" s="999"/>
      <c r="D340" s="999"/>
      <c r="E340" s="999"/>
      <c r="F340" s="999"/>
      <c r="G340" s="999"/>
      <c r="H340" s="999"/>
      <c r="I340" s="999"/>
      <c r="J340" s="999"/>
      <c r="K340" s="999"/>
      <c r="L340" s="999"/>
      <c r="M340" s="999"/>
      <c r="N340" s="999"/>
      <c r="O340" s="999"/>
    </row>
    <row r="341" spans="1:15" x14ac:dyDescent="0.25">
      <c r="A341" s="53" t="s">
        <v>76</v>
      </c>
      <c r="B341" s="53" t="s">
        <v>95</v>
      </c>
      <c r="C341" s="872" t="s">
        <v>78</v>
      </c>
      <c r="D341" s="872"/>
      <c r="E341" s="872"/>
      <c r="F341" s="872"/>
      <c r="G341" s="872"/>
      <c r="H341" s="872" t="s">
        <v>79</v>
      </c>
      <c r="I341" s="872"/>
      <c r="J341" s="872"/>
      <c r="K341" s="872"/>
      <c r="L341" s="872"/>
      <c r="M341" s="872"/>
      <c r="N341" s="872"/>
      <c r="O341" s="872"/>
    </row>
    <row r="342" spans="1:15" ht="114.75" customHeight="1" x14ac:dyDescent="0.25">
      <c r="A342" s="95" t="s">
        <v>710</v>
      </c>
      <c r="B342" s="248">
        <v>0.71</v>
      </c>
      <c r="C342" s="997" t="s">
        <v>807</v>
      </c>
      <c r="D342" s="997"/>
      <c r="E342" s="997"/>
      <c r="F342" s="997"/>
      <c r="G342" s="997"/>
      <c r="H342" s="998" t="s">
        <v>800</v>
      </c>
      <c r="I342" s="998"/>
      <c r="J342" s="998"/>
      <c r="K342" s="998"/>
      <c r="L342" s="998"/>
      <c r="M342" s="998"/>
      <c r="N342" s="998"/>
      <c r="O342" s="998"/>
    </row>
  </sheetData>
  <mergeCells count="331">
    <mergeCell ref="U47:U64"/>
    <mergeCell ref="I45:P45"/>
    <mergeCell ref="G44:T44"/>
    <mergeCell ref="S45:S46"/>
    <mergeCell ref="T45:T46"/>
    <mergeCell ref="U44:U46"/>
    <mergeCell ref="G73:T73"/>
    <mergeCell ref="I74:P74"/>
    <mergeCell ref="E24:E26"/>
    <mergeCell ref="F24:F26"/>
    <mergeCell ref="G64:H64"/>
    <mergeCell ref="A67:S67"/>
    <mergeCell ref="A70:F70"/>
    <mergeCell ref="A71:F71"/>
    <mergeCell ref="A38:S38"/>
    <mergeCell ref="A41:F41"/>
    <mergeCell ref="A42:F42"/>
    <mergeCell ref="G45:H45"/>
    <mergeCell ref="F33:F35"/>
    <mergeCell ref="G33:I35"/>
    <mergeCell ref="J33:J35"/>
    <mergeCell ref="K33:K35"/>
    <mergeCell ref="N33:N35"/>
    <mergeCell ref="O33:O35"/>
    <mergeCell ref="A2:O2"/>
    <mergeCell ref="A4:B8"/>
    <mergeCell ref="C4:C8"/>
    <mergeCell ref="D4:D8"/>
    <mergeCell ref="E4:E8"/>
    <mergeCell ref="F4:F8"/>
    <mergeCell ref="G4:I4"/>
    <mergeCell ref="J4:J8"/>
    <mergeCell ref="K4:K8"/>
    <mergeCell ref="L4:M4"/>
    <mergeCell ref="N4:N8"/>
    <mergeCell ref="O4:O8"/>
    <mergeCell ref="O9:O11"/>
    <mergeCell ref="C9:C11"/>
    <mergeCell ref="D9:D11"/>
    <mergeCell ref="E9:E11"/>
    <mergeCell ref="F9:F11"/>
    <mergeCell ref="C12:C14"/>
    <mergeCell ref="D12:D14"/>
    <mergeCell ref="E12:E14"/>
    <mergeCell ref="F12:F14"/>
    <mergeCell ref="G12:I14"/>
    <mergeCell ref="J12:J14"/>
    <mergeCell ref="K12:K14"/>
    <mergeCell ref="N12:N14"/>
    <mergeCell ref="J18:J20"/>
    <mergeCell ref="G9:I11"/>
    <mergeCell ref="J9:J11"/>
    <mergeCell ref="K9:K11"/>
    <mergeCell ref="N9:N11"/>
    <mergeCell ref="C15:C17"/>
    <mergeCell ref="D15:D17"/>
    <mergeCell ref="E15:E17"/>
    <mergeCell ref="F15:F17"/>
    <mergeCell ref="G15:I17"/>
    <mergeCell ref="J15:J17"/>
    <mergeCell ref="K15:K17"/>
    <mergeCell ref="N15:N17"/>
    <mergeCell ref="C18:C20"/>
    <mergeCell ref="O15:O17"/>
    <mergeCell ref="A1:D1"/>
    <mergeCell ref="O24:O26"/>
    <mergeCell ref="C27:C29"/>
    <mergeCell ref="D27:D29"/>
    <mergeCell ref="E27:E29"/>
    <mergeCell ref="F27:F29"/>
    <mergeCell ref="G27:I29"/>
    <mergeCell ref="J27:J29"/>
    <mergeCell ref="K27:K29"/>
    <mergeCell ref="N27:N29"/>
    <mergeCell ref="O27:O29"/>
    <mergeCell ref="N21:N23"/>
    <mergeCell ref="N24:N26"/>
    <mergeCell ref="K18:K20"/>
    <mergeCell ref="N18:N20"/>
    <mergeCell ref="O18:O20"/>
    <mergeCell ref="C21:C23"/>
    <mergeCell ref="D21:D23"/>
    <mergeCell ref="E21:E23"/>
    <mergeCell ref="F21:F23"/>
    <mergeCell ref="G21:I23"/>
    <mergeCell ref="J21:J23"/>
    <mergeCell ref="K21:K23"/>
    <mergeCell ref="O21:O23"/>
    <mergeCell ref="C24:C26"/>
    <mergeCell ref="D24:D26"/>
    <mergeCell ref="A9:B35"/>
    <mergeCell ref="C30:C32"/>
    <mergeCell ref="D30:D32"/>
    <mergeCell ref="E30:E32"/>
    <mergeCell ref="F30:F32"/>
    <mergeCell ref="G30:I32"/>
    <mergeCell ref="J30:J32"/>
    <mergeCell ref="K30:K32"/>
    <mergeCell ref="N30:N32"/>
    <mergeCell ref="O30:O32"/>
    <mergeCell ref="G24:I26"/>
    <mergeCell ref="J24:J26"/>
    <mergeCell ref="K24:K26"/>
    <mergeCell ref="D18:D20"/>
    <mergeCell ref="E18:E20"/>
    <mergeCell ref="F18:F20"/>
    <mergeCell ref="G18:I20"/>
    <mergeCell ref="O12:O14"/>
    <mergeCell ref="C33:C35"/>
    <mergeCell ref="D33:D35"/>
    <mergeCell ref="E33:E35"/>
    <mergeCell ref="Q45:Q46"/>
    <mergeCell ref="R45:R46"/>
    <mergeCell ref="G93:H93"/>
    <mergeCell ref="A96:O96"/>
    <mergeCell ref="A99:F99"/>
    <mergeCell ref="A100:F100"/>
    <mergeCell ref="G74:H74"/>
    <mergeCell ref="G102:H103"/>
    <mergeCell ref="I102:K102"/>
    <mergeCell ref="L102:O103"/>
    <mergeCell ref="A123:F123"/>
    <mergeCell ref="A124:F124"/>
    <mergeCell ref="G126:G127"/>
    <mergeCell ref="H126:I127"/>
    <mergeCell ref="J126:L126"/>
    <mergeCell ref="G108:G110"/>
    <mergeCell ref="A116:O116"/>
    <mergeCell ref="M126:O127"/>
    <mergeCell ref="A119:F119"/>
    <mergeCell ref="A120:F120"/>
    <mergeCell ref="A121:F121"/>
    <mergeCell ref="A122:F122"/>
    <mergeCell ref="G106:H107"/>
    <mergeCell ref="K106:K107"/>
    <mergeCell ref="I106:I107"/>
    <mergeCell ref="J106:J107"/>
    <mergeCell ref="L106:O107"/>
    <mergeCell ref="L108:O109"/>
    <mergeCell ref="L110:O110"/>
    <mergeCell ref="M133:O137"/>
    <mergeCell ref="H134:I134"/>
    <mergeCell ref="H135:I135"/>
    <mergeCell ref="H136:I136"/>
    <mergeCell ref="H137:I137"/>
    <mergeCell ref="G111:G113"/>
    <mergeCell ref="L111:O112"/>
    <mergeCell ref="L113:O113"/>
    <mergeCell ref="G104:H105"/>
    <mergeCell ref="I104:I105"/>
    <mergeCell ref="J104:J105"/>
    <mergeCell ref="K104:K105"/>
    <mergeCell ref="L104:O104"/>
    <mergeCell ref="L105:O105"/>
    <mergeCell ref="H168:H172"/>
    <mergeCell ref="G143:G147"/>
    <mergeCell ref="H143:I143"/>
    <mergeCell ref="M143:O147"/>
    <mergeCell ref="H144:I144"/>
    <mergeCell ref="H145:I145"/>
    <mergeCell ref="H146:I146"/>
    <mergeCell ref="H147:I147"/>
    <mergeCell ref="G128:G132"/>
    <mergeCell ref="H128:I128"/>
    <mergeCell ref="M128:O132"/>
    <mergeCell ref="H129:I129"/>
    <mergeCell ref="H130:I130"/>
    <mergeCell ref="H131:I131"/>
    <mergeCell ref="H132:I132"/>
    <mergeCell ref="G138:G142"/>
    <mergeCell ref="H138:I138"/>
    <mergeCell ref="M138:O142"/>
    <mergeCell ref="H139:I139"/>
    <mergeCell ref="H140:I140"/>
    <mergeCell ref="H141:I141"/>
    <mergeCell ref="H142:I142"/>
    <mergeCell ref="G133:G137"/>
    <mergeCell ref="H133:I133"/>
    <mergeCell ref="G293:H293"/>
    <mergeCell ref="L293:O293"/>
    <mergeCell ref="G294:H294"/>
    <mergeCell ref="L294:O294"/>
    <mergeCell ref="G173:G197"/>
    <mergeCell ref="H173:H177"/>
    <mergeCell ref="M173:O197"/>
    <mergeCell ref="H178:H182"/>
    <mergeCell ref="H183:H187"/>
    <mergeCell ref="H188:H192"/>
    <mergeCell ref="H193:H197"/>
    <mergeCell ref="G217:G218"/>
    <mergeCell ref="L217:O218"/>
    <mergeCell ref="G237:G238"/>
    <mergeCell ref="L237:O238"/>
    <mergeCell ref="G277:G278"/>
    <mergeCell ref="L277:O278"/>
    <mergeCell ref="G257:G258"/>
    <mergeCell ref="L312:O312"/>
    <mergeCell ref="G295:H295"/>
    <mergeCell ref="L295:O295"/>
    <mergeCell ref="A280:O280"/>
    <mergeCell ref="A288:F288"/>
    <mergeCell ref="A289:F289"/>
    <mergeCell ref="G291:H292"/>
    <mergeCell ref="I291:K291"/>
    <mergeCell ref="L291:O292"/>
    <mergeCell ref="A283:F283"/>
    <mergeCell ref="A284:F284"/>
    <mergeCell ref="A285:F285"/>
    <mergeCell ref="A286:F286"/>
    <mergeCell ref="A287:F287"/>
    <mergeCell ref="G324:H325"/>
    <mergeCell ref="I324:K324"/>
    <mergeCell ref="L324:O325"/>
    <mergeCell ref="G296:H296"/>
    <mergeCell ref="L296:O296"/>
    <mergeCell ref="G297:H297"/>
    <mergeCell ref="L297:O297"/>
    <mergeCell ref="L298:O298"/>
    <mergeCell ref="L299:O299"/>
    <mergeCell ref="L300:O300"/>
    <mergeCell ref="L301:O301"/>
    <mergeCell ref="L302:O302"/>
    <mergeCell ref="L303:O303"/>
    <mergeCell ref="G298:G303"/>
    <mergeCell ref="G304:G309"/>
    <mergeCell ref="L304:O304"/>
    <mergeCell ref="L305:O305"/>
    <mergeCell ref="L306:O306"/>
    <mergeCell ref="L307:O307"/>
    <mergeCell ref="L308:O308"/>
    <mergeCell ref="L309:O309"/>
    <mergeCell ref="G310:G315"/>
    <mergeCell ref="L310:O310"/>
    <mergeCell ref="L311:O311"/>
    <mergeCell ref="G209:G210"/>
    <mergeCell ref="C342:G342"/>
    <mergeCell ref="H342:O342"/>
    <mergeCell ref="A340:O340"/>
    <mergeCell ref="C341:G341"/>
    <mergeCell ref="H341:O341"/>
    <mergeCell ref="C338:G338"/>
    <mergeCell ref="H338:O338"/>
    <mergeCell ref="G271:G272"/>
    <mergeCell ref="L271:O272"/>
    <mergeCell ref="G328:G330"/>
    <mergeCell ref="L328:O330"/>
    <mergeCell ref="A336:O336"/>
    <mergeCell ref="C337:G337"/>
    <mergeCell ref="H337:O337"/>
    <mergeCell ref="G326:H326"/>
    <mergeCell ref="I326:K326"/>
    <mergeCell ref="L326:O326"/>
    <mergeCell ref="G327:H327"/>
    <mergeCell ref="L327:O327"/>
    <mergeCell ref="G331:G333"/>
    <mergeCell ref="L331:O333"/>
    <mergeCell ref="A318:O318"/>
    <mergeCell ref="A321:F321"/>
    <mergeCell ref="G253:G254"/>
    <mergeCell ref="L253:O254"/>
    <mergeCell ref="A262:F262"/>
    <mergeCell ref="A263:F263"/>
    <mergeCell ref="A265:F265"/>
    <mergeCell ref="G267:H268"/>
    <mergeCell ref="I267:K267"/>
    <mergeCell ref="L267:O268"/>
    <mergeCell ref="G269:G270"/>
    <mergeCell ref="L269:O270"/>
    <mergeCell ref="L257:O258"/>
    <mergeCell ref="A264:F264"/>
    <mergeCell ref="G249:G250"/>
    <mergeCell ref="L249:O250"/>
    <mergeCell ref="G251:G252"/>
    <mergeCell ref="L251:O252"/>
    <mergeCell ref="G231:G232"/>
    <mergeCell ref="L231:O232"/>
    <mergeCell ref="A242:F242"/>
    <mergeCell ref="A243:F243"/>
    <mergeCell ref="A244:F244"/>
    <mergeCell ref="G233:G234"/>
    <mergeCell ref="L233:O234"/>
    <mergeCell ref="G235:G236"/>
    <mergeCell ref="L235:O236"/>
    <mergeCell ref="H158:H162"/>
    <mergeCell ref="H163:H167"/>
    <mergeCell ref="A245:F245"/>
    <mergeCell ref="G247:H248"/>
    <mergeCell ref="I247:K247"/>
    <mergeCell ref="L247:O248"/>
    <mergeCell ref="A203:F203"/>
    <mergeCell ref="G213:G214"/>
    <mergeCell ref="L213:O214"/>
    <mergeCell ref="G215:G216"/>
    <mergeCell ref="L215:O216"/>
    <mergeCell ref="A222:F222"/>
    <mergeCell ref="A223:F223"/>
    <mergeCell ref="A225:F225"/>
    <mergeCell ref="G227:H228"/>
    <mergeCell ref="I227:K227"/>
    <mergeCell ref="L227:O228"/>
    <mergeCell ref="G211:G212"/>
    <mergeCell ref="L209:O210"/>
    <mergeCell ref="L211:O212"/>
    <mergeCell ref="A224:F224"/>
    <mergeCell ref="A204:F204"/>
    <mergeCell ref="G229:G230"/>
    <mergeCell ref="L229:O230"/>
    <mergeCell ref="L313:O313"/>
    <mergeCell ref="L314:O314"/>
    <mergeCell ref="L315:O315"/>
    <mergeCell ref="U76:U93"/>
    <mergeCell ref="R74:R75"/>
    <mergeCell ref="S74:S75"/>
    <mergeCell ref="T74:T75"/>
    <mergeCell ref="U73:U75"/>
    <mergeCell ref="G273:G274"/>
    <mergeCell ref="L273:O274"/>
    <mergeCell ref="G275:G276"/>
    <mergeCell ref="L275:O276"/>
    <mergeCell ref="G255:G256"/>
    <mergeCell ref="L255:O256"/>
    <mergeCell ref="A199:O199"/>
    <mergeCell ref="A202:F202"/>
    <mergeCell ref="A205:F205"/>
    <mergeCell ref="G207:H208"/>
    <mergeCell ref="I207:K207"/>
    <mergeCell ref="L207:O208"/>
    <mergeCell ref="G148:G172"/>
    <mergeCell ref="H148:H152"/>
    <mergeCell ref="M148:O172"/>
    <mergeCell ref="H153:H157"/>
  </mergeCells>
  <hyperlinks>
    <hyperlink ref="A38:N38" location="'Hoja 6. AA'!A4" display="'Hoja 6. AA'!A4" xr:uid="{00000000-0004-0000-1E00-000000000000}"/>
    <hyperlink ref="A96:O96" location="'Hoja 11. TABLA DE CONTROL'!B31" display="'Hoja 11. TABLA DE CONTROL'!B31" xr:uid="{00000000-0004-0000-1E00-000001000000}"/>
    <hyperlink ref="A116:N116" location="'Hoja 6. AA'!A4" display="'Hoja 6. AA'!A4" xr:uid="{00000000-0004-0000-1E00-000002000000}"/>
    <hyperlink ref="A199:O199" location="'Hoja 11. TABLA DE CONTROL'!B33" display="'Hoja 11. TABLA DE CONTROL'!B33" xr:uid="{00000000-0004-0000-1E00-000003000000}"/>
    <hyperlink ref="A280:N280" location="'Hoja 6. AA'!A4" display="'Hoja 6. AA'!A4" xr:uid="{00000000-0004-0000-1E00-000004000000}"/>
    <hyperlink ref="A318:N318" location="'Hoja 6. AA'!A4" display="'Hoja 6. AA'!A4" xr:uid="{00000000-0004-0000-1E00-000005000000}"/>
    <hyperlink ref="A336:N336" location="'Hoja 6. AA'!A4" display="'Hoja 6. AA'!A4" xr:uid="{00000000-0004-0000-1E00-000006000000}"/>
    <hyperlink ref="A340:N340" location="'Hoja 6. AA'!A4" display="'Hoja 6. AA'!A4" xr:uid="{00000000-0004-0000-1E00-000007000000}"/>
    <hyperlink ref="D9:D11" location="'Hoja 6. AA'!A38" display="PORCENTAJE DE REDUCCIÓN CARGA CONTAMINANTE PARÁMETROS DBO5" xr:uid="{00000000-0004-0000-1E00-000008000000}"/>
    <hyperlink ref="D15:D17" location="'Hoja 6. AA'!A116" display="PORCENTAJE (%) DE BOSQUES CON UN VOLUMEN DE APROVECHAMIENTO PERMISIONADO MENOR O IGUAL AL PERMISIONABLE." xr:uid="{00000000-0004-0000-1E00-000009000000}"/>
    <hyperlink ref="D18:D20" location="'Hoja 6. AA'!A116" display="'Hoja 6. AA'!A116" xr:uid="{00000000-0004-0000-1E00-00000A000000}"/>
    <hyperlink ref="D27:D29" location="'Hoja 6. AA'!A308" display="PORCENTAJE (%)  DE ACCIONES CORRECTIVAS DE SERVICIOS NO CONFORMES ESTABLECIDAS  EFICAZMENTE." xr:uid="{00000000-0004-0000-1E00-00000B000000}"/>
    <hyperlink ref="D21:D23" location="'Hoja 6. AA2'!A1" display="PORCENTAJE (%) DE SEGUIMIENTO DE AUTORIZACIONES VIGENTES DE ACUERDO AL PROCEDIMIENTO  &quot;P-AA-07: SEGUIMIENTO Y CONTROL A TRÁMITES AMBIENTALES&quot;." xr:uid="{00000000-0004-0000-1E00-00000C000000}"/>
    <hyperlink ref="D24:D26" location="'Hoja 6. AA'!A279" display="PORCENTAJE (%) DE ENCUESTA DE SATISFACCIÓN CALIFICADAS POR LOS USUARIOS DE TRÁMITES AMBIENTALES RESUELTOS CON UNA NOTA SUPERIOR O IGUAL A  TRES PUNTO CINCO (3.5) SOBRE CINCO (5.0)." xr:uid="{00000000-0004-0000-1E00-00000D000000}"/>
    <hyperlink ref="D30:D32" location="'Hoja 6. AA'!A326" display="N° DE EVENTOS DE CAPACITACIÓN Y/O REINDUCCIÓN A LOS FUNCIONARIOS EN NORMAS, PROCEDIMIENTOS Y SOFTWARE CITA." xr:uid="{00000000-0004-0000-1E00-00000E000000}"/>
    <hyperlink ref="D33:D35" location="'Hoja 6. AA'!A330" display="N° DE INFORMES DE SEGUIMIENTO AL CUMPLIMIENTO DE LA APLICACIÓN DE LA AUTORIDAD AMBIENTAL." xr:uid="{00000000-0004-0000-1E00-00000F000000}"/>
    <hyperlink ref="D12:D14" location="'Hoja 6. AA'!A67" display="PORCENTAJE DE REDUCCIÓN DE CARGA CONTAMINANTE PARÁMETROS SST." xr:uid="{00000000-0004-0000-1E00-000010000000}"/>
    <hyperlink ref="A67:N67" location="'Hoja 6. AA'!A4" display="'Hoja 6. AA'!A4" xr:uid="{00000000-0004-0000-1E00-000011000000}"/>
    <hyperlink ref="A67:S67" location="'Hoja 11. TABLA DE CONTROL'!B30" display="'Hoja 11. TABLA DE CONTROL'!B30" xr:uid="{00000000-0004-0000-1E00-000012000000}"/>
    <hyperlink ref="A38:S38" location="'Hoja 11. TABLA DE CONTROL'!B29" display="'Hoja 11. TABLA DE CONTROL'!B29" xr:uid="{00000000-0004-0000-1E00-000013000000}"/>
    <hyperlink ref="A116:O116" location="'Hoja 11. TABLA DE CONTROL'!B32" display="'Hoja 11. TABLA DE CONTROL'!B32" xr:uid="{00000000-0004-0000-1E00-000014000000}"/>
    <hyperlink ref="A336:O336" location="'Hoja 11. TABLA DE CONTROL'!B43" display="'Hoja 11. TABLA DE CONTROL'!B43" xr:uid="{00000000-0004-0000-1E00-000015000000}"/>
    <hyperlink ref="A340:O340" location="'Hoja 11. TABLA DE CONTROL'!B44" display="'Hoja 11. TABLA DE CONTROL'!B44" xr:uid="{00000000-0004-0000-1E00-000016000000}"/>
    <hyperlink ref="A280:O280" location="'Hoja 11. TABLA DE CONTROL'!B41" display="'Hoja 11. TABLA DE CONTROL'!B41" xr:uid="{00000000-0004-0000-1E00-000017000000}"/>
    <hyperlink ref="A318:O318" location="'Hoja 11. TABLA DE CONTROL'!B42" display="'Hoja 11. TABLA DE CONTROL'!B42" xr:uid="{00000000-0004-0000-1E00-000018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06
Hoja 6. Indicadores Proceso Aplicación de la Autoridad Ambiental
Página &amp;P de &amp;N</oddFooter>
  </headerFooter>
  <ignoredErrors>
    <ignoredError sqref="I330:J330" formulaRange="1"/>
    <ignoredError sqref="K329" evalError="1"/>
  </ignoredErrors>
  <drawing r:id="rId2"/>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F20D1-0417-4416-B7A7-65F1C3753528}">
  <sheetPr>
    <tabColor rgb="FFFFFF00"/>
  </sheetPr>
  <dimension ref="A1:K17"/>
  <sheetViews>
    <sheetView showGridLines="0" topLeftCell="A2" zoomScale="60" zoomScaleNormal="60" workbookViewId="0">
      <selection activeCell="D6" sqref="D6:D9"/>
    </sheetView>
  </sheetViews>
  <sheetFormatPr baseColWidth="10" defaultColWidth="11.453125" defaultRowHeight="13.5" x14ac:dyDescent="0.25"/>
  <cols>
    <col min="1" max="4" width="34" style="2" customWidth="1"/>
    <col min="5" max="10" width="32" style="2" customWidth="1"/>
    <col min="11" max="11" width="29.6328125" style="2" customWidth="1"/>
    <col min="12" max="15" width="32.08984375" style="2" customWidth="1"/>
    <col min="16" max="16" width="79" style="2" customWidth="1"/>
    <col min="17" max="16384" width="11.453125" style="2"/>
  </cols>
  <sheetData>
    <row r="1" spans="1:11" x14ac:dyDescent="0.25">
      <c r="A1" s="3"/>
    </row>
    <row r="3" spans="1:11" ht="25.5" customHeight="1" x14ac:dyDescent="0.25">
      <c r="A3" s="810" t="s">
        <v>1189</v>
      </c>
      <c r="B3" s="811"/>
      <c r="C3" s="811"/>
      <c r="D3" s="811"/>
      <c r="E3" s="811"/>
      <c r="F3" s="811"/>
      <c r="G3" s="811"/>
      <c r="H3" s="811"/>
      <c r="I3" s="811"/>
      <c r="J3" s="811"/>
    </row>
    <row r="4" spans="1:11" x14ac:dyDescent="0.25">
      <c r="A4" s="5"/>
    </row>
    <row r="5" spans="1:11" ht="30" customHeight="1" x14ac:dyDescent="0.25">
      <c r="A5" s="812" t="s">
        <v>1187</v>
      </c>
      <c r="B5" s="812"/>
      <c r="C5" s="812"/>
    </row>
    <row r="6" spans="1:11" ht="31.5" customHeight="1" x14ac:dyDescent="0.25">
      <c r="A6" s="659" t="s">
        <v>715</v>
      </c>
      <c r="B6" s="659" t="s">
        <v>1188</v>
      </c>
      <c r="C6" s="659" t="s">
        <v>76</v>
      </c>
      <c r="D6" s="665" t="s">
        <v>252</v>
      </c>
    </row>
    <row r="7" spans="1:11" ht="72" customHeight="1" x14ac:dyDescent="0.25">
      <c r="A7" s="658">
        <v>2019</v>
      </c>
      <c r="B7" s="626">
        <f>+D13</f>
        <v>0.33319131283690362</v>
      </c>
      <c r="C7" s="626">
        <v>0.1</v>
      </c>
      <c r="D7" s="626">
        <f>+B7/C7</f>
        <v>3.331913128369036</v>
      </c>
    </row>
    <row r="8" spans="1:11" ht="72" customHeight="1" x14ac:dyDescent="0.25">
      <c r="A8" s="664">
        <v>2020</v>
      </c>
      <c r="B8" s="626">
        <f>+D14</f>
        <v>0.1293719990598855</v>
      </c>
      <c r="C8" s="626">
        <v>0.1</v>
      </c>
      <c r="D8" s="626">
        <f>+B8/C8</f>
        <v>1.293719990598855</v>
      </c>
    </row>
    <row r="9" spans="1:11" ht="72" customHeight="1" x14ac:dyDescent="0.25">
      <c r="A9" s="658">
        <v>2021</v>
      </c>
      <c r="B9" s="626">
        <f>+D15</f>
        <v>0</v>
      </c>
      <c r="C9" s="626">
        <v>1</v>
      </c>
      <c r="D9" s="626">
        <f>+B9/C9</f>
        <v>0</v>
      </c>
    </row>
    <row r="10" spans="1:11" ht="27" customHeight="1" x14ac:dyDescent="0.25">
      <c r="A10" s="5"/>
    </row>
    <row r="12" spans="1:11" ht="132" customHeight="1" x14ac:dyDescent="0.25">
      <c r="A12" s="661" t="s">
        <v>715</v>
      </c>
      <c r="B12" s="662" t="s">
        <v>1213</v>
      </c>
      <c r="C12" s="662" t="s">
        <v>1214</v>
      </c>
      <c r="D12" s="662" t="s">
        <v>1212</v>
      </c>
      <c r="E12" s="662" t="s">
        <v>1210</v>
      </c>
      <c r="F12" s="662" t="s">
        <v>1215</v>
      </c>
      <c r="G12" s="813" t="s">
        <v>1192</v>
      </c>
      <c r="H12" s="814"/>
      <c r="I12" s="814"/>
      <c r="J12" s="814"/>
      <c r="K12" s="815"/>
    </row>
    <row r="13" spans="1:11" ht="51.75" customHeight="1" x14ac:dyDescent="0.25">
      <c r="A13" s="660">
        <v>2019</v>
      </c>
      <c r="B13" s="667">
        <v>4229591879</v>
      </c>
      <c r="C13" s="667">
        <v>12694184140</v>
      </c>
      <c r="D13" s="657">
        <f>+B13/C13</f>
        <v>0.33319131283690362</v>
      </c>
      <c r="E13" s="657">
        <v>0.1</v>
      </c>
      <c r="F13" s="663">
        <f>+D13/E13</f>
        <v>3.331913128369036</v>
      </c>
      <c r="G13" s="804" t="s">
        <v>1209</v>
      </c>
      <c r="H13" s="805"/>
      <c r="I13" s="805"/>
      <c r="J13" s="805"/>
      <c r="K13" s="806"/>
    </row>
    <row r="14" spans="1:11" ht="51.75" customHeight="1" x14ac:dyDescent="0.25">
      <c r="A14" s="660">
        <v>2020</v>
      </c>
      <c r="B14" s="667">
        <v>1477995785</v>
      </c>
      <c r="C14" s="667">
        <v>11424387006</v>
      </c>
      <c r="D14" s="657">
        <f>+B14/C14</f>
        <v>0.1293719990598855</v>
      </c>
      <c r="E14" s="657">
        <v>0.1</v>
      </c>
      <c r="F14" s="663">
        <f>+D14/E14</f>
        <v>1.293719990598855</v>
      </c>
      <c r="G14" s="804" t="s">
        <v>1208</v>
      </c>
      <c r="H14" s="805"/>
      <c r="I14" s="805"/>
      <c r="J14" s="805"/>
      <c r="K14" s="806"/>
    </row>
    <row r="17" spans="2:2" x14ac:dyDescent="0.25">
      <c r="B17" s="666" t="s">
        <v>1211</v>
      </c>
    </row>
  </sheetData>
  <mergeCells count="5">
    <mergeCell ref="A3:J3"/>
    <mergeCell ref="A5:C5"/>
    <mergeCell ref="G12:K12"/>
    <mergeCell ref="G13:K13"/>
    <mergeCell ref="G14:K14"/>
  </mergeCells>
  <hyperlinks>
    <hyperlink ref="A3:J3" location="'Hoja 5. GP'!A1" display="7. PORCENTAJE (%) DE CUMPLIMIENTO POR PROCESO DE LA META MADS DEL INDICE DE EVALUACIÓN DE DESEMPEÑO INSTITUCIONAL -IEDI" xr:uid="{A846730E-D607-41DA-B074-99DD905FA257}"/>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07
Hoja 5. Indicadores Proceso Gestión de Proyectos.
Página &amp;P de &amp;N</oddFooter>
  </headerFooter>
  <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9" tint="-0.249977111117893"/>
  </sheetPr>
  <dimension ref="A2:Q34"/>
  <sheetViews>
    <sheetView showGridLines="0" zoomScale="40" zoomScaleNormal="40" workbookViewId="0">
      <selection activeCell="P13" sqref="P13:P15"/>
    </sheetView>
  </sheetViews>
  <sheetFormatPr baseColWidth="10" defaultColWidth="11.453125" defaultRowHeight="14" x14ac:dyDescent="0.3"/>
  <cols>
    <col min="1" max="2" width="12.453125" style="594" customWidth="1"/>
    <col min="3" max="3" width="18.6328125" style="594" customWidth="1"/>
    <col min="4" max="4" width="24.54296875" style="597" customWidth="1"/>
    <col min="5" max="5" width="29" style="594" customWidth="1"/>
    <col min="6" max="6" width="24.08984375" style="594" customWidth="1"/>
    <col min="7" max="7" width="14.54296875" style="594" customWidth="1"/>
    <col min="8" max="8" width="21.36328125" style="594" customWidth="1"/>
    <col min="9" max="9" width="16.6328125" style="594" customWidth="1"/>
    <col min="10" max="10" width="16.08984375" style="594" customWidth="1"/>
    <col min="11" max="11" width="15.08984375" style="594" customWidth="1"/>
    <col min="12" max="12" width="25.08984375" style="594" customWidth="1"/>
    <col min="13" max="13" width="41.36328125" style="594" customWidth="1"/>
    <col min="14" max="14" width="18" style="594" customWidth="1"/>
    <col min="15" max="15" width="21" style="594" customWidth="1"/>
    <col min="16" max="16" width="28.54296875" style="2" customWidth="1"/>
    <col min="17" max="17" width="31" style="594" hidden="1" customWidth="1"/>
    <col min="18" max="18" width="41.90625" style="594" customWidth="1"/>
    <col min="19" max="19" width="77.90625" style="594" customWidth="1"/>
    <col min="20" max="20" width="20.453125" style="594" customWidth="1"/>
    <col min="21" max="21" width="49.453125" style="594" customWidth="1"/>
    <col min="22" max="16384" width="11.453125" style="594"/>
  </cols>
  <sheetData>
    <row r="2" spans="1:16" ht="63" customHeight="1" x14ac:dyDescent="0.3">
      <c r="A2" s="1078"/>
      <c r="B2" s="1078"/>
      <c r="C2" s="1078"/>
      <c r="D2" s="1078"/>
      <c r="E2" s="593"/>
      <c r="F2" s="593"/>
      <c r="G2" s="593"/>
      <c r="H2" s="593"/>
      <c r="I2" s="593"/>
      <c r="J2" s="593"/>
      <c r="K2" s="593"/>
      <c r="L2" s="593"/>
      <c r="M2" s="593"/>
      <c r="N2" s="593"/>
      <c r="O2" s="593"/>
    </row>
    <row r="3" spans="1:16" ht="30" x14ac:dyDescent="0.3">
      <c r="A3" s="1079" t="s">
        <v>20</v>
      </c>
      <c r="B3" s="1080"/>
      <c r="C3" s="1080"/>
      <c r="D3" s="1080"/>
      <c r="E3" s="1080"/>
      <c r="F3" s="1080"/>
      <c r="G3" s="1080"/>
      <c r="H3" s="1080"/>
      <c r="I3" s="1080"/>
      <c r="J3" s="1080"/>
      <c r="K3" s="1080"/>
      <c r="L3" s="1080"/>
      <c r="M3" s="1080"/>
      <c r="N3" s="1080"/>
      <c r="O3" s="1081"/>
      <c r="P3" s="593"/>
    </row>
    <row r="4" spans="1:16" ht="14.25" customHeight="1" x14ac:dyDescent="0.3"/>
    <row r="5" spans="1:16" s="595" customFormat="1" ht="60.75" customHeight="1" x14ac:dyDescent="0.35">
      <c r="A5" s="799" t="s">
        <v>0</v>
      </c>
      <c r="B5" s="799"/>
      <c r="C5" s="799" t="s">
        <v>26</v>
      </c>
      <c r="D5" s="799" t="s">
        <v>1</v>
      </c>
      <c r="E5" s="799" t="s">
        <v>2</v>
      </c>
      <c r="F5" s="799" t="s">
        <v>3</v>
      </c>
      <c r="G5" s="799" t="s">
        <v>1185</v>
      </c>
      <c r="H5" s="799"/>
      <c r="I5" s="799"/>
      <c r="J5" s="797" t="s">
        <v>4</v>
      </c>
      <c r="K5" s="797" t="s">
        <v>5</v>
      </c>
      <c r="L5" s="802" t="s">
        <v>1186</v>
      </c>
      <c r="M5" s="803"/>
      <c r="N5" s="797" t="s">
        <v>6</v>
      </c>
      <c r="O5" s="797" t="s">
        <v>7</v>
      </c>
      <c r="P5" s="754" t="s">
        <v>1222</v>
      </c>
    </row>
    <row r="6" spans="1:16" s="595" customFormat="1" ht="56.25" customHeight="1" x14ac:dyDescent="0.35">
      <c r="A6" s="799"/>
      <c r="B6" s="799"/>
      <c r="C6" s="799"/>
      <c r="D6" s="799"/>
      <c r="E6" s="799"/>
      <c r="F6" s="799"/>
      <c r="G6" s="634" t="s">
        <v>31</v>
      </c>
      <c r="H6" s="634" t="s">
        <v>32</v>
      </c>
      <c r="I6" s="634" t="s">
        <v>43</v>
      </c>
      <c r="J6" s="798"/>
      <c r="K6" s="798"/>
      <c r="L6" s="634" t="s">
        <v>47</v>
      </c>
      <c r="M6" s="634" t="s">
        <v>48</v>
      </c>
      <c r="N6" s="798"/>
      <c r="O6" s="798"/>
      <c r="P6" s="755"/>
    </row>
    <row r="7" spans="1:16" s="595" customFormat="1" ht="74.25" customHeight="1" x14ac:dyDescent="0.35">
      <c r="A7" s="799"/>
      <c r="B7" s="799"/>
      <c r="C7" s="799"/>
      <c r="D7" s="799"/>
      <c r="E7" s="799"/>
      <c r="F7" s="799"/>
      <c r="G7" s="639" t="s">
        <v>35</v>
      </c>
      <c r="H7" s="640" t="s">
        <v>37</v>
      </c>
      <c r="I7" s="639" t="s">
        <v>40</v>
      </c>
      <c r="J7" s="798"/>
      <c r="K7" s="798"/>
      <c r="L7" s="572" t="s">
        <v>44</v>
      </c>
      <c r="M7" s="640" t="s">
        <v>52</v>
      </c>
      <c r="N7" s="798"/>
      <c r="O7" s="798"/>
      <c r="P7" s="755"/>
    </row>
    <row r="8" spans="1:16" s="595" customFormat="1" ht="72" customHeight="1" x14ac:dyDescent="0.35">
      <c r="A8" s="799"/>
      <c r="B8" s="799"/>
      <c r="C8" s="799"/>
      <c r="D8" s="799"/>
      <c r="E8" s="799"/>
      <c r="F8" s="799"/>
      <c r="G8" s="639" t="s">
        <v>34</v>
      </c>
      <c r="H8" s="640" t="s">
        <v>38</v>
      </c>
      <c r="I8" s="639" t="s">
        <v>41</v>
      </c>
      <c r="J8" s="798"/>
      <c r="K8" s="798"/>
      <c r="L8" s="573" t="s">
        <v>45</v>
      </c>
      <c r="M8" s="640" t="s">
        <v>50</v>
      </c>
      <c r="N8" s="798"/>
      <c r="O8" s="798"/>
      <c r="P8" s="755"/>
    </row>
    <row r="9" spans="1:16" s="595" customFormat="1" ht="72" customHeight="1" x14ac:dyDescent="0.35">
      <c r="A9" s="797"/>
      <c r="B9" s="797"/>
      <c r="C9" s="797"/>
      <c r="D9" s="797"/>
      <c r="E9" s="797"/>
      <c r="F9" s="797"/>
      <c r="G9" s="641" t="s">
        <v>36</v>
      </c>
      <c r="H9" s="642" t="s">
        <v>39</v>
      </c>
      <c r="I9" s="641" t="s">
        <v>42</v>
      </c>
      <c r="J9" s="798"/>
      <c r="K9" s="798"/>
      <c r="L9" s="585" t="s">
        <v>46</v>
      </c>
      <c r="M9" s="642" t="s">
        <v>51</v>
      </c>
      <c r="N9" s="798"/>
      <c r="O9" s="798"/>
      <c r="P9" s="756"/>
    </row>
    <row r="10" spans="1:16" ht="85.5" customHeight="1" x14ac:dyDescent="0.3">
      <c r="A10" s="728"/>
      <c r="B10" s="730"/>
      <c r="C10" s="774"/>
      <c r="D10" s="787"/>
      <c r="E10" s="1073"/>
      <c r="F10" s="1074"/>
      <c r="G10" s="737"/>
      <c r="H10" s="737"/>
      <c r="I10" s="737"/>
      <c r="J10" s="1075"/>
      <c r="K10" s="741"/>
      <c r="L10" s="610" t="s">
        <v>44</v>
      </c>
      <c r="M10" s="581"/>
      <c r="N10" s="737"/>
      <c r="O10" s="737"/>
      <c r="P10" s="782"/>
    </row>
    <row r="11" spans="1:16" ht="85.5" customHeight="1" x14ac:dyDescent="0.3">
      <c r="A11" s="731"/>
      <c r="B11" s="733"/>
      <c r="C11" s="774"/>
      <c r="D11" s="787"/>
      <c r="E11" s="1073"/>
      <c r="F11" s="1074"/>
      <c r="G11" s="737"/>
      <c r="H11" s="737"/>
      <c r="I11" s="737"/>
      <c r="J11" s="1075"/>
      <c r="K11" s="1076"/>
      <c r="L11" s="610" t="s">
        <v>45</v>
      </c>
      <c r="M11" s="582"/>
      <c r="N11" s="737"/>
      <c r="O11" s="737"/>
      <c r="P11" s="783"/>
    </row>
    <row r="12" spans="1:16" ht="85.5" customHeight="1" x14ac:dyDescent="0.3">
      <c r="A12" s="731"/>
      <c r="B12" s="733"/>
      <c r="C12" s="774"/>
      <c r="D12" s="787"/>
      <c r="E12" s="1073"/>
      <c r="F12" s="1074"/>
      <c r="G12" s="737"/>
      <c r="H12" s="737"/>
      <c r="I12" s="737"/>
      <c r="J12" s="1075"/>
      <c r="K12" s="1077"/>
      <c r="L12" s="610" t="s">
        <v>46</v>
      </c>
      <c r="M12" s="583"/>
      <c r="N12" s="737"/>
      <c r="O12" s="737"/>
      <c r="P12" s="783"/>
    </row>
    <row r="13" spans="1:16" ht="85.5" customHeight="1" x14ac:dyDescent="0.3">
      <c r="A13" s="731"/>
      <c r="B13" s="733"/>
      <c r="C13" s="774"/>
      <c r="D13" s="787"/>
      <c r="E13" s="1073"/>
      <c r="F13" s="1074"/>
      <c r="G13" s="763"/>
      <c r="H13" s="763"/>
      <c r="I13" s="763"/>
      <c r="J13" s="1075"/>
      <c r="K13" s="795"/>
      <c r="L13" s="625" t="s">
        <v>44</v>
      </c>
      <c r="M13" s="581"/>
      <c r="N13" s="737"/>
      <c r="O13" s="737"/>
      <c r="P13" s="782"/>
    </row>
    <row r="14" spans="1:16" ht="85.5" customHeight="1" x14ac:dyDescent="0.3">
      <c r="A14" s="731"/>
      <c r="B14" s="733"/>
      <c r="C14" s="774"/>
      <c r="D14" s="787"/>
      <c r="E14" s="1073"/>
      <c r="F14" s="1074"/>
      <c r="G14" s="763"/>
      <c r="H14" s="763"/>
      <c r="I14" s="763"/>
      <c r="J14" s="1075"/>
      <c r="K14" s="766"/>
      <c r="L14" s="625" t="s">
        <v>45</v>
      </c>
      <c r="M14" s="582"/>
      <c r="N14" s="737"/>
      <c r="O14" s="737"/>
      <c r="P14" s="783"/>
    </row>
    <row r="15" spans="1:16" ht="85.5" customHeight="1" x14ac:dyDescent="0.3">
      <c r="A15" s="731"/>
      <c r="B15" s="733"/>
      <c r="C15" s="774"/>
      <c r="D15" s="787"/>
      <c r="E15" s="1073"/>
      <c r="F15" s="1074"/>
      <c r="G15" s="763"/>
      <c r="H15" s="763"/>
      <c r="I15" s="763"/>
      <c r="J15" s="1075"/>
      <c r="K15" s="767"/>
      <c r="L15" s="625" t="s">
        <v>46</v>
      </c>
      <c r="M15" s="583"/>
      <c r="N15" s="737"/>
      <c r="O15" s="737"/>
      <c r="P15" s="783"/>
    </row>
    <row r="16" spans="1:16" ht="65" customHeight="1" x14ac:dyDescent="0.3">
      <c r="A16" s="731"/>
      <c r="B16" s="733"/>
      <c r="C16" s="774"/>
      <c r="D16" s="787"/>
      <c r="E16" s="1066"/>
      <c r="F16" s="1066"/>
      <c r="G16" s="737"/>
      <c r="H16" s="737"/>
      <c r="I16" s="737"/>
      <c r="J16" s="796"/>
      <c r="K16" s="1070"/>
      <c r="L16" s="675" t="s">
        <v>44</v>
      </c>
      <c r="M16" s="581"/>
      <c r="N16" s="737"/>
      <c r="O16" s="724"/>
      <c r="P16" s="782"/>
    </row>
    <row r="17" spans="1:16" ht="65" customHeight="1" x14ac:dyDescent="0.3">
      <c r="A17" s="731"/>
      <c r="B17" s="733"/>
      <c r="C17" s="774"/>
      <c r="D17" s="787"/>
      <c r="E17" s="1066"/>
      <c r="F17" s="1066"/>
      <c r="G17" s="737"/>
      <c r="H17" s="737"/>
      <c r="I17" s="737"/>
      <c r="J17" s="796"/>
      <c r="K17" s="1071"/>
      <c r="L17" s="675" t="s">
        <v>45</v>
      </c>
      <c r="M17" s="582"/>
      <c r="N17" s="737"/>
      <c r="O17" s="724"/>
      <c r="P17" s="783"/>
    </row>
    <row r="18" spans="1:16" ht="65" customHeight="1" x14ac:dyDescent="0.3">
      <c r="A18" s="731"/>
      <c r="B18" s="733"/>
      <c r="C18" s="774"/>
      <c r="D18" s="787"/>
      <c r="E18" s="1066"/>
      <c r="F18" s="1066"/>
      <c r="G18" s="737"/>
      <c r="H18" s="737"/>
      <c r="I18" s="737"/>
      <c r="J18" s="796"/>
      <c r="K18" s="1072"/>
      <c r="L18" s="675" t="s">
        <v>46</v>
      </c>
      <c r="M18" s="583"/>
      <c r="N18" s="737"/>
      <c r="O18" s="724"/>
      <c r="P18" s="783"/>
    </row>
    <row r="19" spans="1:16" ht="65" customHeight="1" x14ac:dyDescent="0.3">
      <c r="A19" s="731"/>
      <c r="B19" s="733"/>
      <c r="C19" s="774"/>
      <c r="D19" s="787"/>
      <c r="E19" s="1066"/>
      <c r="F19" s="1066"/>
      <c r="G19" s="737"/>
      <c r="H19" s="737"/>
      <c r="I19" s="737"/>
      <c r="J19" s="796"/>
      <c r="K19" s="765"/>
      <c r="L19" s="675" t="s">
        <v>44</v>
      </c>
      <c r="M19" s="581"/>
      <c r="N19" s="737"/>
      <c r="O19" s="724"/>
      <c r="P19" s="782"/>
    </row>
    <row r="20" spans="1:16" ht="65" customHeight="1" x14ac:dyDescent="0.3">
      <c r="A20" s="731"/>
      <c r="B20" s="733"/>
      <c r="C20" s="774"/>
      <c r="D20" s="787"/>
      <c r="E20" s="1066"/>
      <c r="F20" s="1066"/>
      <c r="G20" s="737"/>
      <c r="H20" s="737"/>
      <c r="I20" s="737"/>
      <c r="J20" s="796"/>
      <c r="K20" s="766"/>
      <c r="L20" s="675" t="s">
        <v>45</v>
      </c>
      <c r="M20" s="582"/>
      <c r="N20" s="737"/>
      <c r="O20" s="724"/>
      <c r="P20" s="783"/>
    </row>
    <row r="21" spans="1:16" ht="65" customHeight="1" x14ac:dyDescent="0.3">
      <c r="A21" s="731"/>
      <c r="B21" s="733"/>
      <c r="C21" s="774"/>
      <c r="D21" s="787"/>
      <c r="E21" s="1066"/>
      <c r="F21" s="1066"/>
      <c r="G21" s="737"/>
      <c r="H21" s="737"/>
      <c r="I21" s="737"/>
      <c r="J21" s="796"/>
      <c r="K21" s="767"/>
      <c r="L21" s="675" t="s">
        <v>46</v>
      </c>
      <c r="M21" s="583"/>
      <c r="N21" s="737"/>
      <c r="O21" s="724"/>
      <c r="P21" s="783"/>
    </row>
    <row r="22" spans="1:16" ht="65.5" customHeight="1" x14ac:dyDescent="0.3">
      <c r="A22" s="731"/>
      <c r="B22" s="733"/>
      <c r="C22" s="774"/>
      <c r="D22" s="787"/>
      <c r="E22" s="1068"/>
      <c r="F22" s="1069"/>
      <c r="G22" s="737"/>
      <c r="H22" s="737"/>
      <c r="I22" s="737"/>
      <c r="J22" s="796"/>
      <c r="K22" s="795"/>
      <c r="L22" s="675" t="s">
        <v>44</v>
      </c>
      <c r="M22" s="581"/>
      <c r="N22" s="737"/>
      <c r="O22" s="724"/>
      <c r="P22" s="782"/>
    </row>
    <row r="23" spans="1:16" ht="65.5" customHeight="1" x14ac:dyDescent="0.3">
      <c r="A23" s="731"/>
      <c r="B23" s="733"/>
      <c r="C23" s="774"/>
      <c r="D23" s="787"/>
      <c r="E23" s="1068"/>
      <c r="F23" s="1069"/>
      <c r="G23" s="737"/>
      <c r="H23" s="737"/>
      <c r="I23" s="737"/>
      <c r="J23" s="796"/>
      <c r="K23" s="766"/>
      <c r="L23" s="675" t="s">
        <v>45</v>
      </c>
      <c r="M23" s="582"/>
      <c r="N23" s="737"/>
      <c r="O23" s="724"/>
      <c r="P23" s="783"/>
    </row>
    <row r="24" spans="1:16" ht="65.5" customHeight="1" x14ac:dyDescent="0.3">
      <c r="A24" s="731"/>
      <c r="B24" s="733"/>
      <c r="C24" s="774"/>
      <c r="D24" s="787"/>
      <c r="E24" s="1068"/>
      <c r="F24" s="1069"/>
      <c r="G24" s="737"/>
      <c r="H24" s="737"/>
      <c r="I24" s="737"/>
      <c r="J24" s="796"/>
      <c r="K24" s="767"/>
      <c r="L24" s="675" t="s">
        <v>46</v>
      </c>
      <c r="M24" s="583"/>
      <c r="N24" s="737"/>
      <c r="O24" s="724"/>
      <c r="P24" s="783"/>
    </row>
    <row r="25" spans="1:16" ht="65.5" customHeight="1" x14ac:dyDescent="0.3">
      <c r="A25" s="731"/>
      <c r="B25" s="733"/>
      <c r="C25" s="774"/>
      <c r="D25" s="787"/>
      <c r="E25" s="1066"/>
      <c r="F25" s="1066"/>
      <c r="G25" s="737"/>
      <c r="H25" s="737"/>
      <c r="I25" s="737"/>
      <c r="J25" s="796"/>
      <c r="K25" s="790"/>
      <c r="L25" s="579" t="s">
        <v>44</v>
      </c>
      <c r="M25" s="615"/>
      <c r="N25" s="737"/>
      <c r="O25" s="724"/>
      <c r="P25" s="782"/>
    </row>
    <row r="26" spans="1:16" ht="65.5" customHeight="1" x14ac:dyDescent="0.3">
      <c r="A26" s="731"/>
      <c r="B26" s="733"/>
      <c r="C26" s="774"/>
      <c r="D26" s="787"/>
      <c r="E26" s="1066"/>
      <c r="F26" s="1066"/>
      <c r="G26" s="737"/>
      <c r="H26" s="737"/>
      <c r="I26" s="737"/>
      <c r="J26" s="796"/>
      <c r="K26" s="791"/>
      <c r="L26" s="579" t="s">
        <v>45</v>
      </c>
      <c r="M26" s="582"/>
      <c r="N26" s="737"/>
      <c r="O26" s="724"/>
      <c r="P26" s="783"/>
    </row>
    <row r="27" spans="1:16" ht="65.5" customHeight="1" x14ac:dyDescent="0.3">
      <c r="A27" s="731"/>
      <c r="B27" s="733"/>
      <c r="C27" s="774"/>
      <c r="D27" s="787"/>
      <c r="E27" s="1066"/>
      <c r="F27" s="1066"/>
      <c r="G27" s="737"/>
      <c r="H27" s="737"/>
      <c r="I27" s="737"/>
      <c r="J27" s="796"/>
      <c r="K27" s="792"/>
      <c r="L27" s="579" t="s">
        <v>46</v>
      </c>
      <c r="M27" s="583"/>
      <c r="N27" s="737"/>
      <c r="O27" s="724"/>
      <c r="P27" s="783"/>
    </row>
    <row r="28" spans="1:16" s="2" customFormat="1" ht="64" customHeight="1" x14ac:dyDescent="0.25">
      <c r="A28" s="731"/>
      <c r="B28" s="733"/>
      <c r="C28" s="759"/>
      <c r="D28" s="787"/>
      <c r="E28" s="1066"/>
      <c r="F28" s="1067"/>
      <c r="G28" s="737"/>
      <c r="H28" s="737"/>
      <c r="I28" s="737"/>
      <c r="J28" s="796"/>
      <c r="K28" s="765"/>
      <c r="L28" s="580" t="s">
        <v>44</v>
      </c>
      <c r="M28" s="576"/>
      <c r="N28" s="737"/>
      <c r="O28" s="724"/>
      <c r="P28" s="782"/>
    </row>
    <row r="29" spans="1:16" s="2" customFormat="1" ht="64" customHeight="1" x14ac:dyDescent="0.25">
      <c r="A29" s="731"/>
      <c r="B29" s="733"/>
      <c r="C29" s="760"/>
      <c r="D29" s="787"/>
      <c r="E29" s="1066"/>
      <c r="F29" s="1066"/>
      <c r="G29" s="737"/>
      <c r="H29" s="737"/>
      <c r="I29" s="737"/>
      <c r="J29" s="796"/>
      <c r="K29" s="766"/>
      <c r="L29" s="579" t="s">
        <v>45</v>
      </c>
      <c r="M29" s="577"/>
      <c r="N29" s="737"/>
      <c r="O29" s="724"/>
      <c r="P29" s="783"/>
    </row>
    <row r="30" spans="1:16" s="2" customFormat="1" ht="64" customHeight="1" x14ac:dyDescent="0.25">
      <c r="A30" s="734"/>
      <c r="B30" s="736"/>
      <c r="C30" s="761"/>
      <c r="D30" s="787"/>
      <c r="E30" s="1066"/>
      <c r="F30" s="1066"/>
      <c r="G30" s="737"/>
      <c r="H30" s="737"/>
      <c r="I30" s="737"/>
      <c r="J30" s="796"/>
      <c r="K30" s="767"/>
      <c r="L30" s="579" t="s">
        <v>46</v>
      </c>
      <c r="M30" s="578"/>
      <c r="N30" s="737"/>
      <c r="O30" s="724"/>
      <c r="P30" s="783"/>
    </row>
    <row r="31" spans="1:16" x14ac:dyDescent="0.3">
      <c r="A31" s="596"/>
      <c r="B31" s="596"/>
    </row>
    <row r="33" ht="24" customHeight="1" x14ac:dyDescent="0.3"/>
    <row r="34" ht="18.75" customHeight="1" x14ac:dyDescent="0.3"/>
  </sheetData>
  <mergeCells count="85">
    <mergeCell ref="P22:P24"/>
    <mergeCell ref="P25:P27"/>
    <mergeCell ref="P28:P30"/>
    <mergeCell ref="P5:P9"/>
    <mergeCell ref="P10:P12"/>
    <mergeCell ref="P13:P15"/>
    <mergeCell ref="P16:P18"/>
    <mergeCell ref="P19:P21"/>
    <mergeCell ref="A2:D2"/>
    <mergeCell ref="A3:O3"/>
    <mergeCell ref="A5:B9"/>
    <mergeCell ref="C5:C9"/>
    <mergeCell ref="D5:D9"/>
    <mergeCell ref="E5:E9"/>
    <mergeCell ref="F5:F9"/>
    <mergeCell ref="G5:I5"/>
    <mergeCell ref="J5:J9"/>
    <mergeCell ref="K5:K9"/>
    <mergeCell ref="L5:M5"/>
    <mergeCell ref="N5:N9"/>
    <mergeCell ref="O5:O9"/>
    <mergeCell ref="O13:O15"/>
    <mergeCell ref="C10:C12"/>
    <mergeCell ref="D10:D12"/>
    <mergeCell ref="E10:E12"/>
    <mergeCell ref="F10:F12"/>
    <mergeCell ref="G10:I12"/>
    <mergeCell ref="J10:J12"/>
    <mergeCell ref="K10:K12"/>
    <mergeCell ref="N10:N12"/>
    <mergeCell ref="O10:O12"/>
    <mergeCell ref="C13:C15"/>
    <mergeCell ref="D13:D15"/>
    <mergeCell ref="E13:E15"/>
    <mergeCell ref="F13:F15"/>
    <mergeCell ref="G13:I15"/>
    <mergeCell ref="J13:J15"/>
    <mergeCell ref="G16:I18"/>
    <mergeCell ref="J16:J18"/>
    <mergeCell ref="K16:K18"/>
    <mergeCell ref="N16:N18"/>
    <mergeCell ref="O16:O18"/>
    <mergeCell ref="K13:K15"/>
    <mergeCell ref="N13:N15"/>
    <mergeCell ref="O25:O27"/>
    <mergeCell ref="C22:C24"/>
    <mergeCell ref="D22:D24"/>
    <mergeCell ref="E22:E24"/>
    <mergeCell ref="F22:F24"/>
    <mergeCell ref="G22:I24"/>
    <mergeCell ref="J22:J24"/>
    <mergeCell ref="K22:K24"/>
    <mergeCell ref="N22:N24"/>
    <mergeCell ref="O22:O24"/>
    <mergeCell ref="O19:O21"/>
    <mergeCell ref="C16:C18"/>
    <mergeCell ref="D16:D18"/>
    <mergeCell ref="G25:I27"/>
    <mergeCell ref="J25:J27"/>
    <mergeCell ref="K25:K27"/>
    <mergeCell ref="N25:N27"/>
    <mergeCell ref="C19:C21"/>
    <mergeCell ref="D19:D21"/>
    <mergeCell ref="E19:E21"/>
    <mergeCell ref="F19:F21"/>
    <mergeCell ref="G19:I21"/>
    <mergeCell ref="J19:J21"/>
    <mergeCell ref="K19:K21"/>
    <mergeCell ref="N19:N21"/>
    <mergeCell ref="J28:J30"/>
    <mergeCell ref="K28:K30"/>
    <mergeCell ref="N28:N30"/>
    <mergeCell ref="O28:O30"/>
    <mergeCell ref="A10:B30"/>
    <mergeCell ref="C28:C30"/>
    <mergeCell ref="D28:D30"/>
    <mergeCell ref="E28:E30"/>
    <mergeCell ref="F28:F30"/>
    <mergeCell ref="G28:I30"/>
    <mergeCell ref="C25:C27"/>
    <mergeCell ref="D25:D27"/>
    <mergeCell ref="E25:E27"/>
    <mergeCell ref="F25:F27"/>
    <mergeCell ref="E16:E18"/>
    <mergeCell ref="F16:F18"/>
  </mergeCells>
  <conditionalFormatting sqref="P10:P12">
    <cfRule type="cellIs" dxfId="17" priority="5" operator="between">
      <formula>0.7</formula>
      <formula>0.94</formula>
    </cfRule>
    <cfRule type="cellIs" dxfId="16" priority="6" operator="greaterThan">
      <formula>94</formula>
    </cfRule>
  </conditionalFormatting>
  <conditionalFormatting sqref="P13:P15">
    <cfRule type="cellIs" dxfId="15" priority="2" operator="between">
      <formula>0.7</formula>
      <formula>0.94</formula>
    </cfRule>
    <cfRule type="cellIs" dxfId="14" priority="3" operator="greaterThan">
      <formula>94</formula>
    </cfRule>
  </conditionalFormatting>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08
Hoja 6. Indicadores Proceso Aplicación de la Autoridad Ambiental
Página &amp;P de &amp;N</oddFooter>
  </headerFooter>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rgb="FF009900"/>
  </sheetPr>
  <dimension ref="A1:S303"/>
  <sheetViews>
    <sheetView showGridLines="0" topLeftCell="A40" zoomScale="70" zoomScaleNormal="70" workbookViewId="0">
      <selection activeCell="F221" sqref="F221"/>
    </sheetView>
  </sheetViews>
  <sheetFormatPr baseColWidth="10" defaultColWidth="11.453125" defaultRowHeight="13.5" x14ac:dyDescent="0.25"/>
  <cols>
    <col min="1" max="1" width="24.90625" style="2" customWidth="1"/>
    <col min="2" max="2" width="18" style="2" customWidth="1"/>
    <col min="3" max="3" width="15.6328125" style="2" customWidth="1"/>
    <col min="4" max="4" width="13" style="308" customWidth="1"/>
    <col min="5" max="5" width="27.90625" style="2" customWidth="1"/>
    <col min="6" max="6" width="38.453125" style="2" customWidth="1"/>
    <col min="7" max="7" width="41.08984375" style="2" customWidth="1"/>
    <col min="8" max="8" width="31.453125" style="2" customWidth="1"/>
    <col min="9" max="9" width="30.08984375" style="2" customWidth="1"/>
    <col min="10" max="10" width="23.90625" style="2" customWidth="1"/>
    <col min="11" max="11" width="26.6328125" style="2" customWidth="1"/>
    <col min="12" max="12" width="25.36328125" style="2" customWidth="1"/>
    <col min="13" max="13" width="28.90625" style="2" customWidth="1"/>
    <col min="14" max="14" width="24.08984375" style="2" customWidth="1"/>
    <col min="15" max="15" width="35.90625" style="2" customWidth="1"/>
    <col min="16" max="16" width="27.36328125" style="2" customWidth="1"/>
    <col min="17" max="17" width="31.08984375" style="2" customWidth="1"/>
    <col min="18" max="18" width="41.90625" style="2" customWidth="1"/>
    <col min="19" max="19" width="77.90625" style="2" customWidth="1"/>
    <col min="20" max="20" width="20.453125" style="2" customWidth="1"/>
    <col min="21" max="21" width="49.453125" style="2" customWidth="1"/>
    <col min="22" max="16384" width="11.453125" style="2"/>
  </cols>
  <sheetData>
    <row r="1" spans="1:16" ht="30.5" x14ac:dyDescent="0.25">
      <c r="A1" s="744"/>
      <c r="B1" s="744"/>
      <c r="C1" s="744"/>
      <c r="D1" s="744"/>
      <c r="E1" s="9"/>
      <c r="F1" s="9"/>
      <c r="G1" s="9"/>
      <c r="H1" s="9"/>
      <c r="I1" s="9"/>
      <c r="J1" s="9"/>
      <c r="K1" s="9"/>
      <c r="L1" s="9"/>
      <c r="M1" s="9"/>
      <c r="N1" s="9"/>
      <c r="O1" s="9"/>
      <c r="P1" s="9"/>
    </row>
    <row r="2" spans="1:16" ht="17.5" x14ac:dyDescent="0.25">
      <c r="A2" s="830" t="s">
        <v>20</v>
      </c>
      <c r="B2" s="831"/>
      <c r="C2" s="831"/>
      <c r="D2" s="831"/>
      <c r="E2" s="831"/>
      <c r="F2" s="831"/>
      <c r="G2" s="831"/>
      <c r="H2" s="831"/>
      <c r="I2" s="831"/>
      <c r="J2" s="831"/>
      <c r="K2" s="831"/>
      <c r="L2" s="831"/>
      <c r="M2" s="831"/>
      <c r="N2" s="831"/>
      <c r="O2" s="832"/>
      <c r="P2" s="63"/>
    </row>
    <row r="4" spans="1:16" s="4" customFormat="1" ht="8.25" customHeight="1" x14ac:dyDescent="0.35">
      <c r="A4" s="833" t="s">
        <v>0</v>
      </c>
      <c r="B4" s="833"/>
      <c r="C4" s="833" t="s">
        <v>26</v>
      </c>
      <c r="D4" s="982" t="s">
        <v>1</v>
      </c>
      <c r="E4" s="833" t="s">
        <v>2</v>
      </c>
      <c r="F4" s="833" t="s">
        <v>3</v>
      </c>
      <c r="G4" s="833" t="s">
        <v>1160</v>
      </c>
      <c r="H4" s="833"/>
      <c r="I4" s="833"/>
      <c r="J4" s="834" t="s">
        <v>4</v>
      </c>
      <c r="K4" s="834" t="s">
        <v>5</v>
      </c>
      <c r="L4" s="836" t="s">
        <v>1161</v>
      </c>
      <c r="M4" s="837"/>
      <c r="N4" s="834" t="s">
        <v>6</v>
      </c>
      <c r="O4" s="834" t="s">
        <v>7</v>
      </c>
      <c r="P4" s="64"/>
    </row>
    <row r="5" spans="1:16" s="4" customFormat="1" ht="31.5" customHeight="1" x14ac:dyDescent="0.35">
      <c r="A5" s="833"/>
      <c r="B5" s="833"/>
      <c r="C5" s="833"/>
      <c r="D5" s="982"/>
      <c r="E5" s="833"/>
      <c r="F5" s="833"/>
      <c r="G5" s="557" t="s">
        <v>31</v>
      </c>
      <c r="H5" s="557" t="s">
        <v>32</v>
      </c>
      <c r="I5" s="557" t="s">
        <v>43</v>
      </c>
      <c r="J5" s="835"/>
      <c r="K5" s="835"/>
      <c r="L5" s="557" t="s">
        <v>47</v>
      </c>
      <c r="M5" s="557" t="s">
        <v>48</v>
      </c>
      <c r="N5" s="835"/>
      <c r="O5" s="835"/>
      <c r="P5" s="64"/>
    </row>
    <row r="6" spans="1:16" s="4" customFormat="1" ht="27.75" customHeight="1" x14ac:dyDescent="0.35">
      <c r="A6" s="833"/>
      <c r="B6" s="833"/>
      <c r="C6" s="833"/>
      <c r="D6" s="982"/>
      <c r="E6" s="833"/>
      <c r="F6" s="833"/>
      <c r="G6" s="12" t="s">
        <v>35</v>
      </c>
      <c r="H6" s="13" t="s">
        <v>37</v>
      </c>
      <c r="I6" s="12" t="s">
        <v>40</v>
      </c>
      <c r="J6" s="835"/>
      <c r="K6" s="835"/>
      <c r="L6" s="11" t="s">
        <v>44</v>
      </c>
      <c r="M6" s="13" t="s">
        <v>52</v>
      </c>
      <c r="N6" s="835"/>
      <c r="O6" s="835"/>
      <c r="P6" s="64"/>
    </row>
    <row r="7" spans="1:16" s="4" customFormat="1" ht="27.75" customHeight="1" x14ac:dyDescent="0.35">
      <c r="A7" s="833"/>
      <c r="B7" s="833"/>
      <c r="C7" s="833"/>
      <c r="D7" s="982"/>
      <c r="E7" s="833"/>
      <c r="F7" s="833"/>
      <c r="G7" s="12" t="s">
        <v>34</v>
      </c>
      <c r="H7" s="13" t="s">
        <v>38</v>
      </c>
      <c r="I7" s="12" t="s">
        <v>41</v>
      </c>
      <c r="J7" s="835"/>
      <c r="K7" s="835"/>
      <c r="L7" s="10" t="s">
        <v>45</v>
      </c>
      <c r="M7" s="13" t="s">
        <v>50</v>
      </c>
      <c r="N7" s="835"/>
      <c r="O7" s="835"/>
      <c r="P7" s="64"/>
    </row>
    <row r="8" spans="1:16" s="4" customFormat="1" ht="39.75" customHeight="1" x14ac:dyDescent="0.35">
      <c r="A8" s="834"/>
      <c r="B8" s="834"/>
      <c r="C8" s="834"/>
      <c r="D8" s="983"/>
      <c r="E8" s="834"/>
      <c r="F8" s="834"/>
      <c r="G8" s="47" t="s">
        <v>36</v>
      </c>
      <c r="H8" s="48" t="s">
        <v>39</v>
      </c>
      <c r="I8" s="47" t="s">
        <v>42</v>
      </c>
      <c r="J8" s="835"/>
      <c r="K8" s="835"/>
      <c r="L8" s="42" t="s">
        <v>46</v>
      </c>
      <c r="M8" s="48" t="s">
        <v>51</v>
      </c>
      <c r="N8" s="835"/>
      <c r="O8" s="835"/>
      <c r="P8" s="64"/>
    </row>
    <row r="9" spans="1:16" ht="51" customHeight="1" x14ac:dyDescent="0.25">
      <c r="A9" s="962" t="s">
        <v>143</v>
      </c>
      <c r="B9" s="962"/>
      <c r="C9" s="956" t="s">
        <v>110</v>
      </c>
      <c r="D9" s="963" t="s">
        <v>898</v>
      </c>
      <c r="E9" s="958" t="s">
        <v>899</v>
      </c>
      <c r="F9" s="979" t="s">
        <v>900</v>
      </c>
      <c r="G9" s="898" t="s">
        <v>35</v>
      </c>
      <c r="H9" s="898"/>
      <c r="I9" s="898"/>
      <c r="J9" s="980" t="s">
        <v>901</v>
      </c>
      <c r="K9" s="981">
        <v>1</v>
      </c>
      <c r="L9" s="302" t="s">
        <v>44</v>
      </c>
      <c r="M9" s="303" t="s">
        <v>902</v>
      </c>
      <c r="N9" s="898" t="s">
        <v>1162</v>
      </c>
      <c r="O9" s="898" t="s">
        <v>1126</v>
      </c>
      <c r="P9" s="556"/>
    </row>
    <row r="10" spans="1:16" ht="51" customHeight="1" x14ac:dyDescent="0.25">
      <c r="A10" s="962"/>
      <c r="B10" s="962"/>
      <c r="C10" s="956"/>
      <c r="D10" s="963"/>
      <c r="E10" s="958"/>
      <c r="F10" s="979"/>
      <c r="G10" s="898"/>
      <c r="H10" s="898"/>
      <c r="I10" s="898"/>
      <c r="J10" s="980"/>
      <c r="K10" s="981"/>
      <c r="L10" s="302" t="s">
        <v>46</v>
      </c>
      <c r="M10" s="304" t="s">
        <v>903</v>
      </c>
      <c r="N10" s="898"/>
      <c r="O10" s="898"/>
      <c r="P10" s="556"/>
    </row>
    <row r="11" spans="1:16" ht="51" customHeight="1" x14ac:dyDescent="0.25">
      <c r="A11" s="962"/>
      <c r="B11" s="962"/>
      <c r="C11" s="956" t="s">
        <v>110</v>
      </c>
      <c r="D11" s="957" t="s">
        <v>1109</v>
      </c>
      <c r="E11" s="958" t="s">
        <v>1110</v>
      </c>
      <c r="F11" s="959" t="s">
        <v>160</v>
      </c>
      <c r="G11" s="898" t="s">
        <v>904</v>
      </c>
      <c r="H11" s="898"/>
      <c r="I11" s="898"/>
      <c r="J11" s="960" t="s">
        <v>901</v>
      </c>
      <c r="K11" s="961" t="s">
        <v>73</v>
      </c>
      <c r="L11" s="302" t="s">
        <v>44</v>
      </c>
      <c r="M11" s="303" t="s">
        <v>73</v>
      </c>
      <c r="N11" s="898" t="s">
        <v>1162</v>
      </c>
      <c r="O11" s="898" t="s">
        <v>1074</v>
      </c>
      <c r="P11" s="556"/>
    </row>
    <row r="12" spans="1:16" ht="51" customHeight="1" x14ac:dyDescent="0.25">
      <c r="A12" s="962"/>
      <c r="B12" s="962"/>
      <c r="C12" s="956"/>
      <c r="D12" s="957"/>
      <c r="E12" s="958"/>
      <c r="F12" s="959"/>
      <c r="G12" s="898"/>
      <c r="H12" s="898"/>
      <c r="I12" s="898"/>
      <c r="J12" s="960"/>
      <c r="K12" s="961"/>
      <c r="L12" s="305" t="s">
        <v>45</v>
      </c>
      <c r="M12" s="306" t="s">
        <v>161</v>
      </c>
      <c r="N12" s="898"/>
      <c r="O12" s="898"/>
      <c r="P12" s="556"/>
    </row>
    <row r="13" spans="1:16" ht="51" customHeight="1" x14ac:dyDescent="0.25">
      <c r="A13" s="962"/>
      <c r="B13" s="962"/>
      <c r="C13" s="956"/>
      <c r="D13" s="957"/>
      <c r="E13" s="958"/>
      <c r="F13" s="959"/>
      <c r="G13" s="898"/>
      <c r="H13" s="898"/>
      <c r="I13" s="898"/>
      <c r="J13" s="960"/>
      <c r="K13" s="961"/>
      <c r="L13" s="305" t="s">
        <v>46</v>
      </c>
      <c r="M13" s="304" t="s">
        <v>162</v>
      </c>
      <c r="N13" s="898"/>
      <c r="O13" s="898"/>
      <c r="P13" s="556"/>
    </row>
    <row r="14" spans="1:16" ht="51" customHeight="1" x14ac:dyDescent="0.25">
      <c r="A14" s="962"/>
      <c r="B14" s="962"/>
      <c r="C14" s="964" t="s">
        <v>67</v>
      </c>
      <c r="D14" s="963" t="s">
        <v>905</v>
      </c>
      <c r="E14" s="965" t="s">
        <v>906</v>
      </c>
      <c r="F14" s="966" t="s">
        <v>907</v>
      </c>
      <c r="G14" s="898" t="s">
        <v>34</v>
      </c>
      <c r="H14" s="898"/>
      <c r="I14" s="898"/>
      <c r="J14" s="960" t="s">
        <v>55</v>
      </c>
      <c r="K14" s="961" t="s">
        <v>73</v>
      </c>
      <c r="L14" s="302" t="s">
        <v>44</v>
      </c>
      <c r="M14" s="303" t="s">
        <v>73</v>
      </c>
      <c r="N14" s="898" t="s">
        <v>1162</v>
      </c>
      <c r="O14" s="898" t="s">
        <v>1127</v>
      </c>
      <c r="P14" s="556"/>
    </row>
    <row r="15" spans="1:16" ht="51" customHeight="1" x14ac:dyDescent="0.25">
      <c r="A15" s="962"/>
      <c r="B15" s="962"/>
      <c r="C15" s="964"/>
      <c r="D15" s="963"/>
      <c r="E15" s="965"/>
      <c r="F15" s="966"/>
      <c r="G15" s="898"/>
      <c r="H15" s="898"/>
      <c r="I15" s="898"/>
      <c r="J15" s="960"/>
      <c r="K15" s="961"/>
      <c r="L15" s="302" t="s">
        <v>45</v>
      </c>
      <c r="M15" s="306" t="s">
        <v>161</v>
      </c>
      <c r="N15" s="898"/>
      <c r="O15" s="898"/>
      <c r="P15" s="556"/>
    </row>
    <row r="16" spans="1:16" ht="51" customHeight="1" x14ac:dyDescent="0.25">
      <c r="A16" s="962"/>
      <c r="B16" s="962"/>
      <c r="C16" s="964"/>
      <c r="D16" s="963"/>
      <c r="E16" s="965"/>
      <c r="F16" s="966"/>
      <c r="G16" s="898"/>
      <c r="H16" s="898"/>
      <c r="I16" s="898"/>
      <c r="J16" s="960"/>
      <c r="K16" s="961"/>
      <c r="L16" s="302" t="s">
        <v>46</v>
      </c>
      <c r="M16" s="304" t="s">
        <v>71</v>
      </c>
      <c r="N16" s="898"/>
      <c r="O16" s="898"/>
      <c r="P16" s="556"/>
    </row>
    <row r="17" spans="1:16" ht="51" customHeight="1" x14ac:dyDescent="0.25">
      <c r="A17" s="962"/>
      <c r="B17" s="962"/>
      <c r="C17" s="964" t="s">
        <v>67</v>
      </c>
      <c r="D17" s="963" t="s">
        <v>908</v>
      </c>
      <c r="E17" s="965" t="s">
        <v>906</v>
      </c>
      <c r="F17" s="966" t="s">
        <v>907</v>
      </c>
      <c r="G17" s="967" t="s">
        <v>34</v>
      </c>
      <c r="H17" s="968"/>
      <c r="I17" s="969"/>
      <c r="J17" s="976" t="s">
        <v>55</v>
      </c>
      <c r="K17" s="961" t="s">
        <v>73</v>
      </c>
      <c r="L17" s="302" t="s">
        <v>44</v>
      </c>
      <c r="M17" s="303" t="s">
        <v>73</v>
      </c>
      <c r="N17" s="898" t="s">
        <v>1162</v>
      </c>
      <c r="O17" s="898" t="s">
        <v>1127</v>
      </c>
      <c r="P17" s="556"/>
    </row>
    <row r="18" spans="1:16" ht="51" customHeight="1" x14ac:dyDescent="0.25">
      <c r="A18" s="962"/>
      <c r="B18" s="962"/>
      <c r="C18" s="964"/>
      <c r="D18" s="963"/>
      <c r="E18" s="965"/>
      <c r="F18" s="966"/>
      <c r="G18" s="970"/>
      <c r="H18" s="971"/>
      <c r="I18" s="972"/>
      <c r="J18" s="977"/>
      <c r="K18" s="961"/>
      <c r="L18" s="302" t="s">
        <v>45</v>
      </c>
      <c r="M18" s="306" t="s">
        <v>161</v>
      </c>
      <c r="N18" s="898"/>
      <c r="O18" s="898"/>
      <c r="P18" s="556"/>
    </row>
    <row r="19" spans="1:16" ht="51" customHeight="1" x14ac:dyDescent="0.25">
      <c r="A19" s="962"/>
      <c r="B19" s="962"/>
      <c r="C19" s="964"/>
      <c r="D19" s="963"/>
      <c r="E19" s="965"/>
      <c r="F19" s="966"/>
      <c r="G19" s="973"/>
      <c r="H19" s="974"/>
      <c r="I19" s="975"/>
      <c r="J19" s="978"/>
      <c r="K19" s="961"/>
      <c r="L19" s="302" t="s">
        <v>46</v>
      </c>
      <c r="M19" s="304" t="s">
        <v>71</v>
      </c>
      <c r="N19" s="898"/>
      <c r="O19" s="898"/>
      <c r="P19" s="556"/>
    </row>
    <row r="20" spans="1:16" ht="60" customHeight="1" x14ac:dyDescent="0.25">
      <c r="A20" s="962"/>
      <c r="B20" s="962"/>
      <c r="C20" s="956" t="s">
        <v>67</v>
      </c>
      <c r="D20" s="963" t="s">
        <v>909</v>
      </c>
      <c r="E20" s="958" t="s">
        <v>910</v>
      </c>
      <c r="F20" s="959" t="s">
        <v>911</v>
      </c>
      <c r="G20" s="898" t="s">
        <v>912</v>
      </c>
      <c r="H20" s="898"/>
      <c r="I20" s="898"/>
      <c r="J20" s="960" t="s">
        <v>901</v>
      </c>
      <c r="K20" s="961" t="s">
        <v>73</v>
      </c>
      <c r="L20" s="305" t="s">
        <v>44</v>
      </c>
      <c r="M20" s="303" t="s">
        <v>73</v>
      </c>
      <c r="N20" s="898" t="s">
        <v>1162</v>
      </c>
      <c r="O20" s="898" t="s">
        <v>1127</v>
      </c>
      <c r="P20" s="556"/>
    </row>
    <row r="21" spans="1:16" ht="52.5" customHeight="1" x14ac:dyDescent="0.25">
      <c r="A21" s="962"/>
      <c r="B21" s="962"/>
      <c r="C21" s="956"/>
      <c r="D21" s="963"/>
      <c r="E21" s="958"/>
      <c r="F21" s="959"/>
      <c r="G21" s="898"/>
      <c r="H21" s="898"/>
      <c r="I21" s="898"/>
      <c r="J21" s="960"/>
      <c r="K21" s="961"/>
      <c r="L21" s="305" t="s">
        <v>45</v>
      </c>
      <c r="M21" s="306" t="s">
        <v>161</v>
      </c>
      <c r="N21" s="898"/>
      <c r="O21" s="898"/>
      <c r="P21" s="556"/>
    </row>
    <row r="22" spans="1:16" ht="57.75" customHeight="1" x14ac:dyDescent="0.25">
      <c r="A22" s="962"/>
      <c r="B22" s="962"/>
      <c r="C22" s="956"/>
      <c r="D22" s="963"/>
      <c r="E22" s="958"/>
      <c r="F22" s="959"/>
      <c r="G22" s="898"/>
      <c r="H22" s="898"/>
      <c r="I22" s="898"/>
      <c r="J22" s="960"/>
      <c r="K22" s="961"/>
      <c r="L22" s="305" t="s">
        <v>46</v>
      </c>
      <c r="M22" s="304" t="s">
        <v>162</v>
      </c>
      <c r="N22" s="898"/>
      <c r="O22" s="898"/>
      <c r="P22" s="556"/>
    </row>
    <row r="23" spans="1:16" ht="51" customHeight="1" x14ac:dyDescent="0.25">
      <c r="A23" s="962"/>
      <c r="B23" s="962"/>
      <c r="C23" s="956" t="s">
        <v>67</v>
      </c>
      <c r="D23" s="963" t="s">
        <v>913</v>
      </c>
      <c r="E23" s="958" t="s">
        <v>914</v>
      </c>
      <c r="F23" s="959" t="s">
        <v>915</v>
      </c>
      <c r="G23" s="898" t="s">
        <v>34</v>
      </c>
      <c r="H23" s="898"/>
      <c r="I23" s="898"/>
      <c r="J23" s="960" t="s">
        <v>901</v>
      </c>
      <c r="K23" s="961">
        <v>1</v>
      </c>
      <c r="L23" s="305" t="s">
        <v>44</v>
      </c>
      <c r="M23" s="307" t="s">
        <v>916</v>
      </c>
      <c r="N23" s="898" t="s">
        <v>1162</v>
      </c>
      <c r="O23" s="898" t="s">
        <v>1127</v>
      </c>
      <c r="P23" s="556"/>
    </row>
    <row r="24" spans="1:16" ht="51" customHeight="1" x14ac:dyDescent="0.25">
      <c r="A24" s="962"/>
      <c r="B24" s="962"/>
      <c r="C24" s="956"/>
      <c r="D24" s="963"/>
      <c r="E24" s="958"/>
      <c r="F24" s="959"/>
      <c r="G24" s="898"/>
      <c r="H24" s="898"/>
      <c r="I24" s="898"/>
      <c r="J24" s="960"/>
      <c r="K24" s="961"/>
      <c r="L24" s="305" t="s">
        <v>45</v>
      </c>
      <c r="M24" s="306" t="s">
        <v>60</v>
      </c>
      <c r="N24" s="898"/>
      <c r="O24" s="898"/>
      <c r="P24" s="556"/>
    </row>
    <row r="25" spans="1:16" ht="51" customHeight="1" x14ac:dyDescent="0.25">
      <c r="A25" s="962"/>
      <c r="B25" s="962"/>
      <c r="C25" s="956"/>
      <c r="D25" s="963"/>
      <c r="E25" s="958"/>
      <c r="F25" s="959"/>
      <c r="G25" s="898"/>
      <c r="H25" s="898"/>
      <c r="I25" s="898"/>
      <c r="J25" s="960"/>
      <c r="K25" s="961"/>
      <c r="L25" s="305" t="s">
        <v>46</v>
      </c>
      <c r="M25" s="304" t="s">
        <v>917</v>
      </c>
      <c r="N25" s="898"/>
      <c r="O25" s="898"/>
      <c r="P25" s="556"/>
    </row>
    <row r="26" spans="1:16" ht="74.25" customHeight="1" x14ac:dyDescent="0.25">
      <c r="A26" s="962"/>
      <c r="B26" s="962"/>
      <c r="C26" s="956" t="s">
        <v>53</v>
      </c>
      <c r="D26" s="957" t="s">
        <v>918</v>
      </c>
      <c r="E26" s="958" t="s">
        <v>802</v>
      </c>
      <c r="F26" s="959" t="s">
        <v>803</v>
      </c>
      <c r="G26" s="898" t="s">
        <v>912</v>
      </c>
      <c r="H26" s="898"/>
      <c r="I26" s="898"/>
      <c r="J26" s="960" t="s">
        <v>55</v>
      </c>
      <c r="K26" s="961" t="s">
        <v>57</v>
      </c>
      <c r="L26" s="302" t="s">
        <v>44</v>
      </c>
      <c r="M26" s="303" t="s">
        <v>57</v>
      </c>
      <c r="N26" s="898" t="s">
        <v>1162</v>
      </c>
      <c r="O26" s="898" t="s">
        <v>1128</v>
      </c>
      <c r="P26" s="556"/>
    </row>
    <row r="27" spans="1:16" ht="74.25" customHeight="1" x14ac:dyDescent="0.25">
      <c r="A27" s="962"/>
      <c r="B27" s="962"/>
      <c r="C27" s="956"/>
      <c r="D27" s="957"/>
      <c r="E27" s="958"/>
      <c r="F27" s="959"/>
      <c r="G27" s="898"/>
      <c r="H27" s="898"/>
      <c r="I27" s="898"/>
      <c r="J27" s="960"/>
      <c r="K27" s="961"/>
      <c r="L27" s="302" t="s">
        <v>45</v>
      </c>
      <c r="M27" s="306" t="s">
        <v>117</v>
      </c>
      <c r="N27" s="898"/>
      <c r="O27" s="898"/>
      <c r="P27" s="556"/>
    </row>
    <row r="28" spans="1:16" ht="74.25" customHeight="1" x14ac:dyDescent="0.25">
      <c r="A28" s="962"/>
      <c r="B28" s="962"/>
      <c r="C28" s="956"/>
      <c r="D28" s="957"/>
      <c r="E28" s="958"/>
      <c r="F28" s="959"/>
      <c r="G28" s="898"/>
      <c r="H28" s="898"/>
      <c r="I28" s="898"/>
      <c r="J28" s="960"/>
      <c r="K28" s="961"/>
      <c r="L28" s="302" t="s">
        <v>46</v>
      </c>
      <c r="M28" s="304" t="s">
        <v>104</v>
      </c>
      <c r="N28" s="898"/>
      <c r="O28" s="898"/>
      <c r="P28" s="556"/>
    </row>
    <row r="29" spans="1:16" ht="51" customHeight="1" x14ac:dyDescent="0.25">
      <c r="A29" s="449"/>
      <c r="B29" s="449"/>
      <c r="C29" s="956" t="s">
        <v>53</v>
      </c>
      <c r="D29" s="957" t="s">
        <v>1103</v>
      </c>
      <c r="E29" s="958" t="s">
        <v>1104</v>
      </c>
      <c r="F29" s="959" t="s">
        <v>1105</v>
      </c>
      <c r="G29" s="898" t="s">
        <v>912</v>
      </c>
      <c r="H29" s="898"/>
      <c r="I29" s="898"/>
      <c r="J29" s="960" t="s">
        <v>63</v>
      </c>
      <c r="K29" s="961" t="s">
        <v>1106</v>
      </c>
      <c r="L29" s="302" t="s">
        <v>44</v>
      </c>
      <c r="M29" s="446" t="s">
        <v>1115</v>
      </c>
      <c r="N29" s="898" t="s">
        <v>1107</v>
      </c>
      <c r="O29" s="898" t="s">
        <v>1118</v>
      </c>
      <c r="P29" s="556"/>
    </row>
    <row r="30" spans="1:16" ht="51" customHeight="1" x14ac:dyDescent="0.25">
      <c r="A30" s="449"/>
      <c r="B30" s="449"/>
      <c r="C30" s="956"/>
      <c r="D30" s="957"/>
      <c r="E30" s="958"/>
      <c r="F30" s="959"/>
      <c r="G30" s="898"/>
      <c r="H30" s="898"/>
      <c r="I30" s="898"/>
      <c r="J30" s="960"/>
      <c r="K30" s="961"/>
      <c r="L30" s="302" t="s">
        <v>45</v>
      </c>
      <c r="M30" s="447" t="s">
        <v>1116</v>
      </c>
      <c r="N30" s="898"/>
      <c r="O30" s="898"/>
      <c r="P30" s="556"/>
    </row>
    <row r="31" spans="1:16" ht="51" customHeight="1" x14ac:dyDescent="0.25">
      <c r="A31" s="449"/>
      <c r="B31" s="449"/>
      <c r="C31" s="956"/>
      <c r="D31" s="957"/>
      <c r="E31" s="958"/>
      <c r="F31" s="959"/>
      <c r="G31" s="898"/>
      <c r="H31" s="898"/>
      <c r="I31" s="898"/>
      <c r="J31" s="960"/>
      <c r="K31" s="961"/>
      <c r="L31" s="302" t="s">
        <v>46</v>
      </c>
      <c r="M31" s="448" t="s">
        <v>1117</v>
      </c>
      <c r="N31" s="898"/>
      <c r="O31" s="898"/>
      <c r="P31" s="556"/>
    </row>
    <row r="32" spans="1:16" ht="51" customHeight="1" x14ac:dyDescent="0.25">
      <c r="A32" s="449"/>
      <c r="B32" s="449"/>
      <c r="C32" s="956" t="s">
        <v>67</v>
      </c>
      <c r="D32" s="957" t="s">
        <v>1111</v>
      </c>
      <c r="E32" s="958" t="s">
        <v>1112</v>
      </c>
      <c r="F32" s="959" t="s">
        <v>1113</v>
      </c>
      <c r="G32" s="898" t="s">
        <v>912</v>
      </c>
      <c r="H32" s="898"/>
      <c r="I32" s="898"/>
      <c r="J32" s="960" t="s">
        <v>63</v>
      </c>
      <c r="K32" s="961" t="s">
        <v>1114</v>
      </c>
      <c r="L32" s="302" t="s">
        <v>44</v>
      </c>
      <c r="M32" s="446" t="s">
        <v>858</v>
      </c>
      <c r="N32" s="898" t="s">
        <v>1107</v>
      </c>
      <c r="O32" s="898" t="s">
        <v>1108</v>
      </c>
      <c r="P32" s="556"/>
    </row>
    <row r="33" spans="1:19" ht="51" customHeight="1" x14ac:dyDescent="0.25">
      <c r="A33" s="449"/>
      <c r="B33" s="449"/>
      <c r="C33" s="956"/>
      <c r="D33" s="957"/>
      <c r="E33" s="958"/>
      <c r="F33" s="959"/>
      <c r="G33" s="898"/>
      <c r="H33" s="898"/>
      <c r="I33" s="898"/>
      <c r="J33" s="960"/>
      <c r="K33" s="961"/>
      <c r="L33" s="302" t="s">
        <v>45</v>
      </c>
      <c r="M33" s="447" t="s">
        <v>859</v>
      </c>
      <c r="N33" s="898"/>
      <c r="O33" s="898"/>
      <c r="P33" s="556"/>
    </row>
    <row r="34" spans="1:19" ht="51" customHeight="1" x14ac:dyDescent="0.25">
      <c r="A34" s="449"/>
      <c r="B34" s="449"/>
      <c r="C34" s="956"/>
      <c r="D34" s="957"/>
      <c r="E34" s="958"/>
      <c r="F34" s="959"/>
      <c r="G34" s="898"/>
      <c r="H34" s="898"/>
      <c r="I34" s="898"/>
      <c r="J34" s="960"/>
      <c r="K34" s="961"/>
      <c r="L34" s="302" t="s">
        <v>46</v>
      </c>
      <c r="M34" s="448" t="s">
        <v>720</v>
      </c>
      <c r="N34" s="898"/>
      <c r="O34" s="898"/>
      <c r="P34" s="556"/>
    </row>
    <row r="35" spans="1:19" ht="52.5" customHeight="1" x14ac:dyDescent="0.25">
      <c r="A35" s="556"/>
      <c r="B35" s="556"/>
      <c r="C35" s="898" t="s">
        <v>67</v>
      </c>
      <c r="D35" s="984" t="s">
        <v>1119</v>
      </c>
      <c r="E35" s="898" t="s">
        <v>1121</v>
      </c>
      <c r="F35" s="985" t="s">
        <v>1122</v>
      </c>
      <c r="G35" s="898" t="s">
        <v>34</v>
      </c>
      <c r="H35" s="898"/>
      <c r="I35" s="898"/>
      <c r="J35" s="898" t="s">
        <v>63</v>
      </c>
      <c r="K35" s="986" t="s">
        <v>1120</v>
      </c>
      <c r="L35" s="450" t="s">
        <v>44</v>
      </c>
      <c r="M35" s="444" t="s">
        <v>1123</v>
      </c>
      <c r="N35" s="898" t="s">
        <v>58</v>
      </c>
      <c r="O35" s="898" t="s">
        <v>1108</v>
      </c>
    </row>
    <row r="36" spans="1:19" ht="52.5" customHeight="1" x14ac:dyDescent="0.25">
      <c r="A36" s="556"/>
      <c r="B36" s="556"/>
      <c r="C36" s="898"/>
      <c r="D36" s="984"/>
      <c r="E36" s="898"/>
      <c r="F36" s="985"/>
      <c r="G36" s="898"/>
      <c r="H36" s="898"/>
      <c r="I36" s="898"/>
      <c r="J36" s="898"/>
      <c r="K36" s="986"/>
      <c r="L36" s="450" t="s">
        <v>45</v>
      </c>
      <c r="M36" s="439" t="s">
        <v>1124</v>
      </c>
      <c r="N36" s="898"/>
      <c r="O36" s="898"/>
    </row>
    <row r="37" spans="1:19" ht="52.5" customHeight="1" x14ac:dyDescent="0.25">
      <c r="A37" s="556"/>
      <c r="B37" s="556"/>
      <c r="C37" s="898"/>
      <c r="D37" s="984"/>
      <c r="E37" s="898"/>
      <c r="F37" s="985"/>
      <c r="G37" s="898"/>
      <c r="H37" s="898"/>
      <c r="I37" s="898"/>
      <c r="J37" s="898"/>
      <c r="K37" s="986"/>
      <c r="L37" s="450" t="s">
        <v>46</v>
      </c>
      <c r="M37" s="445" t="s">
        <v>1125</v>
      </c>
      <c r="N37" s="898"/>
      <c r="O37" s="898"/>
    </row>
    <row r="38" spans="1:19" x14ac:dyDescent="0.25">
      <c r="A38" s="3"/>
      <c r="B38" s="3"/>
    </row>
    <row r="40" spans="1:19" ht="33" customHeight="1" x14ac:dyDescent="0.25">
      <c r="A40" s="885" t="str">
        <f>+D9</f>
        <v xml:space="preserve">Tiempo promedio de trámite para la resolución de autorizaciones ambientales otorgadas por la corporación </v>
      </c>
      <c r="B40" s="885"/>
      <c r="C40" s="885"/>
      <c r="D40" s="885"/>
      <c r="E40" s="885"/>
      <c r="F40" s="885"/>
      <c r="G40" s="885"/>
      <c r="H40" s="885"/>
      <c r="I40" s="885"/>
      <c r="J40" s="885"/>
      <c r="K40" s="885"/>
      <c r="L40" s="885"/>
      <c r="M40" s="885"/>
      <c r="N40" s="885"/>
      <c r="O40" s="885"/>
      <c r="P40" s="885"/>
      <c r="Q40" s="885"/>
      <c r="R40" s="885"/>
      <c r="S40" s="885"/>
    </row>
    <row r="41" spans="1:19" x14ac:dyDescent="0.25">
      <c r="A41" s="5"/>
    </row>
    <row r="42" spans="1:19" x14ac:dyDescent="0.25">
      <c r="A42" s="5"/>
      <c r="G42" s="28"/>
      <c r="I42" s="309"/>
      <c r="J42" s="309"/>
      <c r="K42" s="309"/>
      <c r="L42" s="309"/>
    </row>
    <row r="43" spans="1:19" s="316" customFormat="1" ht="11.5" x14ac:dyDescent="0.25">
      <c r="A43" s="950" t="s">
        <v>919</v>
      </c>
      <c r="B43" s="310" t="s">
        <v>920</v>
      </c>
      <c r="C43" s="311"/>
      <c r="D43" s="312" t="s">
        <v>921</v>
      </c>
      <c r="E43" s="313" t="s">
        <v>922</v>
      </c>
      <c r="F43" s="313" t="s">
        <v>923</v>
      </c>
      <c r="G43" s="313" t="s">
        <v>924</v>
      </c>
      <c r="H43" s="314"/>
      <c r="I43" s="315"/>
    </row>
    <row r="44" spans="1:19" s="316" customFormat="1" ht="23" x14ac:dyDescent="0.25">
      <c r="A44" s="950"/>
      <c r="B44" s="310"/>
      <c r="C44" s="311"/>
      <c r="D44" s="529" t="s">
        <v>1163</v>
      </c>
      <c r="E44" s="529" t="s">
        <v>1164</v>
      </c>
      <c r="F44" s="317" t="s">
        <v>926</v>
      </c>
      <c r="G44" s="317" t="s">
        <v>926</v>
      </c>
      <c r="H44" s="314"/>
      <c r="I44" s="315"/>
    </row>
    <row r="45" spans="1:19" s="316" customFormat="1" ht="11.5" x14ac:dyDescent="0.25">
      <c r="A45" s="951" t="s">
        <v>927</v>
      </c>
      <c r="B45" s="1098" t="s">
        <v>928</v>
      </c>
      <c r="C45" s="311" t="s">
        <v>929</v>
      </c>
      <c r="D45" s="318">
        <v>175</v>
      </c>
      <c r="E45" s="318" t="s">
        <v>948</v>
      </c>
      <c r="F45" s="319"/>
      <c r="G45" s="320"/>
      <c r="H45" s="314"/>
      <c r="I45" s="315"/>
    </row>
    <row r="46" spans="1:19" s="316" customFormat="1" ht="11.5" x14ac:dyDescent="0.25">
      <c r="A46" s="952"/>
      <c r="B46" s="1098"/>
      <c r="C46" s="311" t="s">
        <v>930</v>
      </c>
      <c r="D46" s="321">
        <f>191+168</f>
        <v>359</v>
      </c>
      <c r="E46" s="321" t="s">
        <v>948</v>
      </c>
      <c r="F46" s="319"/>
      <c r="G46" s="320"/>
      <c r="H46" s="314"/>
      <c r="I46" s="315"/>
    </row>
    <row r="47" spans="1:19" s="316" customFormat="1" ht="11.5" x14ac:dyDescent="0.25">
      <c r="A47" s="952"/>
      <c r="B47" s="1098"/>
      <c r="C47" s="311" t="s">
        <v>931</v>
      </c>
      <c r="D47" s="322" t="s">
        <v>948</v>
      </c>
      <c r="E47" s="322" t="s">
        <v>948</v>
      </c>
      <c r="F47" s="319"/>
      <c r="G47" s="320"/>
      <c r="H47" s="314"/>
      <c r="I47" s="315"/>
    </row>
    <row r="48" spans="1:19" s="316" customFormat="1" ht="11.5" x14ac:dyDescent="0.25">
      <c r="A48" s="952"/>
      <c r="B48" s="1098"/>
      <c r="C48" s="311" t="s">
        <v>932</v>
      </c>
      <c r="D48" s="318" t="s">
        <v>948</v>
      </c>
      <c r="E48" s="318" t="s">
        <v>948</v>
      </c>
      <c r="F48" s="319"/>
      <c r="G48" s="320"/>
      <c r="H48" s="314"/>
      <c r="I48" s="315"/>
    </row>
    <row r="49" spans="1:9" s="316" customFormat="1" ht="11.5" x14ac:dyDescent="0.25">
      <c r="A49" s="952"/>
      <c r="B49" s="1098"/>
      <c r="C49" s="323" t="s">
        <v>81</v>
      </c>
      <c r="D49" s="324">
        <f>SUM(D45:D48)</f>
        <v>534</v>
      </c>
      <c r="E49" s="324"/>
      <c r="F49" s="325"/>
      <c r="G49" s="326"/>
      <c r="H49" s="314"/>
      <c r="I49" s="315"/>
    </row>
    <row r="50" spans="1:9" s="316" customFormat="1" ht="11.5" x14ac:dyDescent="0.25">
      <c r="A50" s="952"/>
      <c r="B50" s="1098" t="s">
        <v>933</v>
      </c>
      <c r="C50" s="311" t="s">
        <v>929</v>
      </c>
      <c r="D50" s="318">
        <v>1</v>
      </c>
      <c r="E50" s="318" t="s">
        <v>948</v>
      </c>
      <c r="F50" s="319"/>
      <c r="G50" s="320"/>
      <c r="H50" s="314"/>
      <c r="I50" s="315"/>
    </row>
    <row r="51" spans="1:9" s="316" customFormat="1" ht="11.5" x14ac:dyDescent="0.25">
      <c r="A51" s="952"/>
      <c r="B51" s="1098"/>
      <c r="C51" s="311" t="s">
        <v>930</v>
      </c>
      <c r="D51" s="318">
        <v>2</v>
      </c>
      <c r="E51" s="318" t="s">
        <v>948</v>
      </c>
      <c r="F51" s="319"/>
      <c r="G51" s="320"/>
      <c r="H51" s="314"/>
      <c r="I51" s="315"/>
    </row>
    <row r="52" spans="1:9" s="316" customFormat="1" ht="11.5" x14ac:dyDescent="0.25">
      <c r="A52" s="952"/>
      <c r="B52" s="1098"/>
      <c r="C52" s="311" t="s">
        <v>931</v>
      </c>
      <c r="D52" s="322" t="s">
        <v>948</v>
      </c>
      <c r="E52" s="322" t="s">
        <v>948</v>
      </c>
      <c r="F52" s="319"/>
      <c r="G52" s="320"/>
      <c r="H52" s="314"/>
      <c r="I52" s="315"/>
    </row>
    <row r="53" spans="1:9" s="316" customFormat="1" ht="11.5" x14ac:dyDescent="0.25">
      <c r="A53" s="952"/>
      <c r="B53" s="1098"/>
      <c r="C53" s="311" t="s">
        <v>932</v>
      </c>
      <c r="D53" s="318" t="s">
        <v>948</v>
      </c>
      <c r="E53" s="318" t="s">
        <v>948</v>
      </c>
      <c r="F53" s="319"/>
      <c r="G53" s="320"/>
      <c r="H53" s="314"/>
      <c r="I53" s="315"/>
    </row>
    <row r="54" spans="1:9" s="316" customFormat="1" ht="11.5" x14ac:dyDescent="0.25">
      <c r="A54" s="952"/>
      <c r="B54" s="1098"/>
      <c r="C54" s="323" t="s">
        <v>81</v>
      </c>
      <c r="D54" s="324">
        <f>SUM(D50:D53)</f>
        <v>3</v>
      </c>
      <c r="E54" s="324"/>
      <c r="F54" s="325"/>
      <c r="G54" s="326"/>
      <c r="H54" s="314"/>
      <c r="I54" s="315"/>
    </row>
    <row r="55" spans="1:9" s="316" customFormat="1" ht="14.25" customHeight="1" x14ac:dyDescent="0.25">
      <c r="A55" s="952"/>
      <c r="B55" s="1098" t="s">
        <v>934</v>
      </c>
      <c r="C55" s="311" t="s">
        <v>929</v>
      </c>
      <c r="D55" s="318">
        <f>+D45/D50</f>
        <v>175</v>
      </c>
      <c r="E55" s="318" t="s">
        <v>948</v>
      </c>
      <c r="F55" s="319"/>
      <c r="G55" s="319"/>
      <c r="H55" s="327"/>
      <c r="I55" s="327"/>
    </row>
    <row r="56" spans="1:9" s="316" customFormat="1" ht="11.5" x14ac:dyDescent="0.25">
      <c r="A56" s="952"/>
      <c r="B56" s="1098"/>
      <c r="C56" s="311" t="s">
        <v>930</v>
      </c>
      <c r="D56" s="318">
        <f>+D46/D51</f>
        <v>179.5</v>
      </c>
      <c r="E56" s="318" t="s">
        <v>948</v>
      </c>
      <c r="F56" s="319"/>
      <c r="G56" s="319"/>
      <c r="H56" s="327"/>
      <c r="I56" s="327"/>
    </row>
    <row r="57" spans="1:9" s="316" customFormat="1" ht="11.5" x14ac:dyDescent="0.25">
      <c r="A57" s="952"/>
      <c r="B57" s="1098"/>
      <c r="C57" s="311" t="s">
        <v>931</v>
      </c>
      <c r="D57" s="318" t="s">
        <v>948</v>
      </c>
      <c r="E57" s="318" t="s">
        <v>948</v>
      </c>
      <c r="F57" s="319"/>
      <c r="G57" s="319"/>
      <c r="H57" s="327"/>
      <c r="I57" s="327"/>
    </row>
    <row r="58" spans="1:9" s="316" customFormat="1" ht="11.5" x14ac:dyDescent="0.25">
      <c r="A58" s="952"/>
      <c r="B58" s="1098"/>
      <c r="C58" s="311" t="s">
        <v>932</v>
      </c>
      <c r="D58" s="318" t="s">
        <v>948</v>
      </c>
      <c r="E58" s="318" t="s">
        <v>948</v>
      </c>
      <c r="F58" s="319"/>
      <c r="G58" s="319"/>
      <c r="H58" s="327"/>
      <c r="I58" s="327"/>
    </row>
    <row r="59" spans="1:9" s="316" customFormat="1" ht="11.5" x14ac:dyDescent="0.25">
      <c r="A59" s="953"/>
      <c r="B59" s="1099"/>
      <c r="C59" s="323" t="s">
        <v>81</v>
      </c>
      <c r="D59" s="324">
        <f>+D49/D54</f>
        <v>178</v>
      </c>
      <c r="E59" s="324"/>
      <c r="F59" s="325"/>
      <c r="G59" s="326"/>
      <c r="H59" s="327"/>
      <c r="I59" s="327"/>
    </row>
    <row r="60" spans="1:9" s="316" customFormat="1" ht="11.5" x14ac:dyDescent="0.25">
      <c r="A60" s="899" t="s">
        <v>935</v>
      </c>
      <c r="B60" s="1095" t="s">
        <v>936</v>
      </c>
      <c r="C60" s="311" t="s">
        <v>929</v>
      </c>
      <c r="D60" s="328">
        <f>108+183</f>
        <v>291</v>
      </c>
      <c r="E60" s="328">
        <v>526</v>
      </c>
      <c r="F60" s="311"/>
      <c r="G60" s="311"/>
      <c r="H60" s="327"/>
      <c r="I60" s="327"/>
    </row>
    <row r="61" spans="1:9" s="316" customFormat="1" ht="12" customHeight="1" x14ac:dyDescent="0.25">
      <c r="A61" s="899"/>
      <c r="B61" s="1096"/>
      <c r="C61" s="311" t="s">
        <v>930</v>
      </c>
      <c r="D61" s="328">
        <f>619+30</f>
        <v>649</v>
      </c>
      <c r="E61" s="328">
        <v>622</v>
      </c>
      <c r="F61" s="311"/>
      <c r="G61" s="311"/>
      <c r="H61" s="327"/>
      <c r="I61" s="327"/>
    </row>
    <row r="62" spans="1:9" s="316" customFormat="1" ht="12" customHeight="1" x14ac:dyDescent="0.25">
      <c r="A62" s="899"/>
      <c r="B62" s="1096"/>
      <c r="C62" s="311" t="s">
        <v>931</v>
      </c>
      <c r="D62" s="328">
        <f>400+732</f>
        <v>1132</v>
      </c>
      <c r="E62" s="328">
        <v>1263</v>
      </c>
      <c r="F62" s="311"/>
      <c r="G62" s="311"/>
      <c r="H62" s="327"/>
      <c r="I62" s="327"/>
    </row>
    <row r="63" spans="1:9" s="316" customFormat="1" ht="12" customHeight="1" x14ac:dyDescent="0.25">
      <c r="A63" s="899"/>
      <c r="B63" s="1096"/>
      <c r="C63" s="311" t="s">
        <v>932</v>
      </c>
      <c r="D63" s="328">
        <v>1247</v>
      </c>
      <c r="E63" s="328">
        <v>636</v>
      </c>
      <c r="F63" s="311"/>
      <c r="G63" s="311"/>
      <c r="H63" s="327"/>
      <c r="I63" s="327"/>
    </row>
    <row r="64" spans="1:9" s="316" customFormat="1" ht="12" customHeight="1" x14ac:dyDescent="0.25">
      <c r="A64" s="899"/>
      <c r="B64" s="1097"/>
      <c r="C64" s="329" t="s">
        <v>81</v>
      </c>
      <c r="D64" s="330">
        <f>SUM(D60:D63)</f>
        <v>3319</v>
      </c>
      <c r="E64" s="330">
        <f>SUM(E60:E63)</f>
        <v>3047</v>
      </c>
      <c r="F64" s="323"/>
      <c r="G64" s="323"/>
      <c r="H64" s="327"/>
      <c r="I64" s="327"/>
    </row>
    <row r="65" spans="1:9" x14ac:dyDescent="0.25">
      <c r="A65" s="899"/>
      <c r="B65" s="1094" t="s">
        <v>937</v>
      </c>
      <c r="C65" s="311" t="s">
        <v>929</v>
      </c>
      <c r="D65" s="565">
        <v>4</v>
      </c>
      <c r="E65" s="564">
        <v>8</v>
      </c>
      <c r="F65" s="331"/>
      <c r="G65" s="331"/>
      <c r="H65" s="28"/>
      <c r="I65" s="28"/>
    </row>
    <row r="66" spans="1:9" x14ac:dyDescent="0.25">
      <c r="A66" s="899"/>
      <c r="B66" s="1094"/>
      <c r="C66" s="311" t="s">
        <v>930</v>
      </c>
      <c r="D66" s="565">
        <v>15</v>
      </c>
      <c r="E66" s="564">
        <v>19</v>
      </c>
      <c r="F66" s="331"/>
      <c r="G66" s="331"/>
      <c r="H66" s="28"/>
      <c r="I66" s="28"/>
    </row>
    <row r="67" spans="1:9" x14ac:dyDescent="0.25">
      <c r="A67" s="899"/>
      <c r="B67" s="1094"/>
      <c r="C67" s="311" t="s">
        <v>931</v>
      </c>
      <c r="D67" s="565">
        <f>14+7</f>
        <v>21</v>
      </c>
      <c r="E67" s="564">
        <v>32</v>
      </c>
      <c r="F67" s="331"/>
      <c r="G67" s="331"/>
      <c r="H67" s="28"/>
      <c r="I67" s="28"/>
    </row>
    <row r="68" spans="1:9" x14ac:dyDescent="0.25">
      <c r="A68" s="899"/>
      <c r="B68" s="1094"/>
      <c r="C68" s="311" t="s">
        <v>932</v>
      </c>
      <c r="D68" s="565">
        <v>22</v>
      </c>
      <c r="E68" s="564">
        <v>19</v>
      </c>
      <c r="F68" s="331"/>
      <c r="G68" s="331"/>
      <c r="H68" s="28"/>
      <c r="I68" s="28"/>
    </row>
    <row r="69" spans="1:9" x14ac:dyDescent="0.25">
      <c r="A69" s="899"/>
      <c r="B69" s="1094"/>
      <c r="C69" s="329" t="s">
        <v>81</v>
      </c>
      <c r="D69" s="332">
        <f>SUM(D65:D68)</f>
        <v>62</v>
      </c>
      <c r="E69" s="468">
        <f>SUM(E65:E68)</f>
        <v>78</v>
      </c>
      <c r="F69" s="333"/>
      <c r="G69" s="331"/>
      <c r="H69" s="28"/>
      <c r="I69" s="28"/>
    </row>
    <row r="70" spans="1:9" x14ac:dyDescent="0.25">
      <c r="A70" s="899"/>
      <c r="B70" s="1094" t="s">
        <v>938</v>
      </c>
      <c r="C70" s="311" t="s">
        <v>929</v>
      </c>
      <c r="D70" s="334">
        <f t="shared" ref="D70:E74" si="0">+D60/D65</f>
        <v>72.75</v>
      </c>
      <c r="E70" s="334">
        <f t="shared" si="0"/>
        <v>65.75</v>
      </c>
      <c r="F70" s="331"/>
      <c r="G70" s="331"/>
      <c r="H70" s="28"/>
      <c r="I70" s="28"/>
    </row>
    <row r="71" spans="1:9" x14ac:dyDescent="0.25">
      <c r="A71" s="899"/>
      <c r="B71" s="1094"/>
      <c r="C71" s="311" t="s">
        <v>930</v>
      </c>
      <c r="D71" s="334">
        <f t="shared" si="0"/>
        <v>43.266666666666666</v>
      </c>
      <c r="E71" s="334">
        <f t="shared" si="0"/>
        <v>32.736842105263158</v>
      </c>
      <c r="F71" s="331"/>
      <c r="G71" s="331"/>
      <c r="H71" s="28"/>
      <c r="I71" s="28"/>
    </row>
    <row r="72" spans="1:9" x14ac:dyDescent="0.25">
      <c r="A72" s="899"/>
      <c r="B72" s="1094"/>
      <c r="C72" s="311" t="s">
        <v>931</v>
      </c>
      <c r="D72" s="334">
        <f t="shared" si="0"/>
        <v>53.904761904761905</v>
      </c>
      <c r="E72" s="334">
        <f t="shared" si="0"/>
        <v>39.46875</v>
      </c>
      <c r="F72" s="331"/>
      <c r="G72" s="331"/>
      <c r="H72" s="28"/>
      <c r="I72" s="28"/>
    </row>
    <row r="73" spans="1:9" x14ac:dyDescent="0.25">
      <c r="A73" s="899"/>
      <c r="B73" s="1094"/>
      <c r="C73" s="311" t="s">
        <v>932</v>
      </c>
      <c r="D73" s="334">
        <f t="shared" si="0"/>
        <v>56.68181818181818</v>
      </c>
      <c r="E73" s="334">
        <f t="shared" si="0"/>
        <v>33.473684210526315</v>
      </c>
      <c r="F73" s="331"/>
      <c r="G73" s="331"/>
      <c r="H73" s="28"/>
      <c r="I73" s="28"/>
    </row>
    <row r="74" spans="1:9" x14ac:dyDescent="0.25">
      <c r="A74" s="899"/>
      <c r="B74" s="1094"/>
      <c r="C74" s="329" t="s">
        <v>81</v>
      </c>
      <c r="D74" s="332">
        <f t="shared" si="0"/>
        <v>53.532258064516128</v>
      </c>
      <c r="E74" s="469">
        <f t="shared" si="0"/>
        <v>39.064102564102562</v>
      </c>
      <c r="F74" s="333"/>
      <c r="G74" s="333"/>
      <c r="H74" s="28"/>
      <c r="I74" s="28"/>
    </row>
    <row r="75" spans="1:9" ht="14.25" customHeight="1" x14ac:dyDescent="0.25">
      <c r="A75" s="951" t="s">
        <v>1165</v>
      </c>
      <c r="B75" s="1095" t="s">
        <v>940</v>
      </c>
      <c r="C75" s="311" t="s">
        <v>929</v>
      </c>
      <c r="D75" s="334">
        <v>422</v>
      </c>
      <c r="E75" s="564">
        <v>474</v>
      </c>
      <c r="F75" s="331"/>
      <c r="G75" s="331"/>
      <c r="H75" s="28"/>
      <c r="I75" s="28"/>
    </row>
    <row r="76" spans="1:9" x14ac:dyDescent="0.25">
      <c r="A76" s="952"/>
      <c r="B76" s="1096"/>
      <c r="C76" s="311" t="s">
        <v>930</v>
      </c>
      <c r="D76" s="334">
        <v>987</v>
      </c>
      <c r="E76" s="564">
        <v>3000</v>
      </c>
      <c r="F76" s="331"/>
      <c r="G76" s="331"/>
      <c r="H76" s="28"/>
      <c r="I76" s="28"/>
    </row>
    <row r="77" spans="1:9" x14ac:dyDescent="0.25">
      <c r="A77" s="952"/>
      <c r="B77" s="1096"/>
      <c r="C77" s="311" t="s">
        <v>931</v>
      </c>
      <c r="D77" s="334">
        <v>699</v>
      </c>
      <c r="E77" s="564">
        <v>3418</v>
      </c>
      <c r="F77" s="331"/>
      <c r="G77" s="331"/>
      <c r="H77" s="28"/>
      <c r="I77" s="28"/>
    </row>
    <row r="78" spans="1:9" x14ac:dyDescent="0.25">
      <c r="A78" s="952"/>
      <c r="B78" s="1096"/>
      <c r="C78" s="311" t="s">
        <v>932</v>
      </c>
      <c r="D78" s="334">
        <v>360</v>
      </c>
      <c r="E78" s="564">
        <v>1151</v>
      </c>
      <c r="F78" s="331"/>
      <c r="G78" s="331"/>
      <c r="H78" s="28"/>
      <c r="I78" s="28"/>
    </row>
    <row r="79" spans="1:9" x14ac:dyDescent="0.25">
      <c r="A79" s="952"/>
      <c r="B79" s="1097"/>
      <c r="C79" s="323" t="s">
        <v>81</v>
      </c>
      <c r="D79" s="335">
        <f>SUM(D75:D78)</f>
        <v>2468</v>
      </c>
      <c r="E79" s="468">
        <f>SUM(E75:E78)</f>
        <v>8043</v>
      </c>
      <c r="F79" s="333"/>
      <c r="G79" s="333"/>
      <c r="H79" s="28"/>
      <c r="I79" s="28"/>
    </row>
    <row r="80" spans="1:9" x14ac:dyDescent="0.25">
      <c r="A80" s="952"/>
      <c r="B80" s="1095" t="s">
        <v>941</v>
      </c>
      <c r="C80" s="311" t="s">
        <v>929</v>
      </c>
      <c r="D80" s="334">
        <v>5</v>
      </c>
      <c r="E80" s="564">
        <v>6</v>
      </c>
      <c r="F80" s="331"/>
      <c r="G80" s="331"/>
      <c r="H80" s="28"/>
      <c r="I80" s="28"/>
    </row>
    <row r="81" spans="1:9" x14ac:dyDescent="0.25">
      <c r="A81" s="952"/>
      <c r="B81" s="1096"/>
      <c r="C81" s="311" t="s">
        <v>930</v>
      </c>
      <c r="D81" s="334">
        <v>8</v>
      </c>
      <c r="E81" s="564">
        <v>33</v>
      </c>
      <c r="F81" s="331"/>
      <c r="G81" s="331"/>
      <c r="H81" s="28"/>
      <c r="I81" s="28"/>
    </row>
    <row r="82" spans="1:9" x14ac:dyDescent="0.25">
      <c r="A82" s="952"/>
      <c r="B82" s="1096"/>
      <c r="C82" s="311" t="s">
        <v>931</v>
      </c>
      <c r="D82" s="334">
        <v>10</v>
      </c>
      <c r="E82" s="564">
        <v>35</v>
      </c>
      <c r="F82" s="331"/>
      <c r="G82" s="331"/>
      <c r="H82" s="28"/>
      <c r="I82" s="28"/>
    </row>
    <row r="83" spans="1:9" x14ac:dyDescent="0.25">
      <c r="A83" s="952"/>
      <c r="B83" s="1096"/>
      <c r="C83" s="311" t="s">
        <v>932</v>
      </c>
      <c r="D83" s="334">
        <v>4</v>
      </c>
      <c r="E83" s="564">
        <v>21</v>
      </c>
      <c r="F83" s="331"/>
      <c r="G83" s="331"/>
      <c r="H83" s="28"/>
      <c r="I83" s="28"/>
    </row>
    <row r="84" spans="1:9" x14ac:dyDescent="0.25">
      <c r="A84" s="952"/>
      <c r="B84" s="1097"/>
      <c r="C84" s="323" t="s">
        <v>81</v>
      </c>
      <c r="D84" s="335">
        <f>SUM(D80:D83)</f>
        <v>27</v>
      </c>
      <c r="E84" s="468">
        <f>SUM(E80:E83)</f>
        <v>95</v>
      </c>
      <c r="F84" s="333"/>
      <c r="G84" s="333"/>
      <c r="H84" s="28"/>
      <c r="I84" s="28"/>
    </row>
    <row r="85" spans="1:9" x14ac:dyDescent="0.25">
      <c r="A85" s="952"/>
      <c r="B85" s="1095" t="s">
        <v>942</v>
      </c>
      <c r="C85" s="311" t="s">
        <v>929</v>
      </c>
      <c r="D85" s="334">
        <f t="shared" ref="D85:E87" si="1">+D75/D80</f>
        <v>84.4</v>
      </c>
      <c r="E85" s="334">
        <f t="shared" si="1"/>
        <v>79</v>
      </c>
      <c r="F85" s="331"/>
      <c r="G85" s="331"/>
      <c r="H85" s="28"/>
      <c r="I85" s="28"/>
    </row>
    <row r="86" spans="1:9" x14ac:dyDescent="0.25">
      <c r="A86" s="952"/>
      <c r="B86" s="1096"/>
      <c r="C86" s="311" t="s">
        <v>930</v>
      </c>
      <c r="D86" s="334">
        <f t="shared" si="1"/>
        <v>123.375</v>
      </c>
      <c r="E86" s="334">
        <f t="shared" si="1"/>
        <v>90.909090909090907</v>
      </c>
      <c r="F86" s="331"/>
      <c r="G86" s="331"/>
      <c r="H86" s="28"/>
      <c r="I86" s="28"/>
    </row>
    <row r="87" spans="1:9" x14ac:dyDescent="0.25">
      <c r="A87" s="952"/>
      <c r="B87" s="1096"/>
      <c r="C87" s="311" t="s">
        <v>931</v>
      </c>
      <c r="D87" s="334">
        <f t="shared" si="1"/>
        <v>69.900000000000006</v>
      </c>
      <c r="E87" s="334">
        <f t="shared" si="1"/>
        <v>97.657142857142858</v>
      </c>
      <c r="F87" s="331"/>
      <c r="G87" s="331"/>
      <c r="H87" s="28"/>
      <c r="I87" s="28"/>
    </row>
    <row r="88" spans="1:9" x14ac:dyDescent="0.25">
      <c r="A88" s="952"/>
      <c r="B88" s="1096"/>
      <c r="C88" s="311" t="s">
        <v>932</v>
      </c>
      <c r="D88" s="334">
        <v>90</v>
      </c>
      <c r="E88" s="334">
        <f>+E78/E83</f>
        <v>54.80952380952381</v>
      </c>
      <c r="F88" s="331"/>
      <c r="G88" s="331"/>
      <c r="H88" s="28"/>
      <c r="I88" s="28"/>
    </row>
    <row r="89" spans="1:9" x14ac:dyDescent="0.25">
      <c r="A89" s="953"/>
      <c r="B89" s="1097"/>
      <c r="C89" s="323" t="s">
        <v>81</v>
      </c>
      <c r="D89" s="470">
        <f>+D79/D84</f>
        <v>91.407407407407405</v>
      </c>
      <c r="E89" s="470">
        <f>+E79/E84</f>
        <v>84.663157894736841</v>
      </c>
      <c r="F89" s="325"/>
      <c r="G89" s="325"/>
      <c r="H89" s="28"/>
      <c r="I89" s="28"/>
    </row>
    <row r="90" spans="1:9" x14ac:dyDescent="0.25">
      <c r="A90" s="899" t="s">
        <v>943</v>
      </c>
      <c r="B90" s="1095" t="s">
        <v>1144</v>
      </c>
      <c r="C90" s="311" t="s">
        <v>929</v>
      </c>
      <c r="D90" s="334">
        <v>166</v>
      </c>
      <c r="E90" s="564">
        <v>298</v>
      </c>
      <c r="F90" s="331"/>
      <c r="G90" s="331"/>
      <c r="H90" s="28"/>
      <c r="I90" s="28"/>
    </row>
    <row r="91" spans="1:9" x14ac:dyDescent="0.25">
      <c r="A91" s="899"/>
      <c r="B91" s="1096"/>
      <c r="C91" s="311" t="s">
        <v>930</v>
      </c>
      <c r="D91" s="334">
        <v>714</v>
      </c>
      <c r="E91" s="564">
        <v>363</v>
      </c>
      <c r="F91" s="331"/>
      <c r="G91" s="331"/>
      <c r="H91" s="28"/>
      <c r="I91" s="28"/>
    </row>
    <row r="92" spans="1:9" x14ac:dyDescent="0.25">
      <c r="A92" s="899"/>
      <c r="B92" s="1096"/>
      <c r="C92" s="311" t="s">
        <v>931</v>
      </c>
      <c r="D92" s="565">
        <v>443</v>
      </c>
      <c r="E92" s="564">
        <v>116</v>
      </c>
      <c r="F92" s="331"/>
      <c r="G92" s="331"/>
      <c r="H92" s="28"/>
      <c r="I92" s="28"/>
    </row>
    <row r="93" spans="1:9" x14ac:dyDescent="0.25">
      <c r="A93" s="899"/>
      <c r="B93" s="1096"/>
      <c r="C93" s="311" t="s">
        <v>932</v>
      </c>
      <c r="D93" s="565">
        <v>307</v>
      </c>
      <c r="E93" s="564">
        <v>335</v>
      </c>
      <c r="F93" s="331"/>
      <c r="G93" s="331"/>
      <c r="H93" s="28"/>
      <c r="I93" s="28"/>
    </row>
    <row r="94" spans="1:9" x14ac:dyDescent="0.25">
      <c r="A94" s="899"/>
      <c r="B94" s="1097"/>
      <c r="C94" s="323" t="s">
        <v>81</v>
      </c>
      <c r="D94" s="335">
        <f>SUM(D90:D93)</f>
        <v>1630</v>
      </c>
      <c r="E94" s="468">
        <f>SUM(E90:E93)</f>
        <v>1112</v>
      </c>
      <c r="F94" s="333"/>
      <c r="G94" s="333"/>
      <c r="H94" s="28"/>
      <c r="I94" s="28"/>
    </row>
    <row r="95" spans="1:9" x14ac:dyDescent="0.25">
      <c r="A95" s="899"/>
      <c r="B95" s="1094" t="s">
        <v>944</v>
      </c>
      <c r="C95" s="311" t="s">
        <v>929</v>
      </c>
      <c r="D95" s="565">
        <v>4</v>
      </c>
      <c r="E95" s="564">
        <v>6</v>
      </c>
      <c r="F95" s="331"/>
      <c r="G95" s="331"/>
      <c r="H95" s="28"/>
      <c r="I95" s="28"/>
    </row>
    <row r="96" spans="1:9" x14ac:dyDescent="0.25">
      <c r="A96" s="899"/>
      <c r="B96" s="1094"/>
      <c r="C96" s="311" t="s">
        <v>930</v>
      </c>
      <c r="D96" s="565">
        <v>16</v>
      </c>
      <c r="E96" s="564">
        <v>8</v>
      </c>
      <c r="F96" s="331"/>
      <c r="G96" s="331"/>
      <c r="H96" s="28"/>
      <c r="I96" s="28"/>
    </row>
    <row r="97" spans="1:9" x14ac:dyDescent="0.25">
      <c r="A97" s="899"/>
      <c r="B97" s="1094"/>
      <c r="C97" s="311" t="s">
        <v>931</v>
      </c>
      <c r="D97" s="565">
        <v>13</v>
      </c>
      <c r="E97" s="564">
        <v>5</v>
      </c>
      <c r="F97" s="331"/>
      <c r="G97" s="331"/>
      <c r="H97" s="28"/>
      <c r="I97" s="28"/>
    </row>
    <row r="98" spans="1:9" x14ac:dyDescent="0.25">
      <c r="A98" s="899"/>
      <c r="B98" s="1094"/>
      <c r="C98" s="311" t="s">
        <v>932</v>
      </c>
      <c r="D98" s="565">
        <v>9</v>
      </c>
      <c r="E98" s="564">
        <v>7</v>
      </c>
      <c r="F98" s="331"/>
      <c r="G98" s="331"/>
      <c r="H98" s="28"/>
      <c r="I98" s="28"/>
    </row>
    <row r="99" spans="1:9" x14ac:dyDescent="0.25">
      <c r="A99" s="899"/>
      <c r="B99" s="1094"/>
      <c r="C99" s="323" t="s">
        <v>81</v>
      </c>
      <c r="D99" s="336">
        <f>SUM(D95:D98)</f>
        <v>42</v>
      </c>
      <c r="E99" s="468">
        <f>SUM(E95:E98)</f>
        <v>26</v>
      </c>
      <c r="F99" s="333"/>
      <c r="G99" s="331"/>
      <c r="H99" s="28"/>
      <c r="I99" s="28"/>
    </row>
    <row r="100" spans="1:9" x14ac:dyDescent="0.25">
      <c r="A100" s="899"/>
      <c r="B100" s="1094" t="s">
        <v>945</v>
      </c>
      <c r="C100" s="311" t="s">
        <v>929</v>
      </c>
      <c r="D100" s="334">
        <f t="shared" ref="D100:E104" si="2">+D90/D95</f>
        <v>41.5</v>
      </c>
      <c r="E100" s="334">
        <f t="shared" si="2"/>
        <v>49.666666666666664</v>
      </c>
      <c r="F100" s="331"/>
      <c r="G100" s="331"/>
      <c r="H100" s="28"/>
      <c r="I100" s="28"/>
    </row>
    <row r="101" spans="1:9" x14ac:dyDescent="0.25">
      <c r="A101" s="899"/>
      <c r="B101" s="1094"/>
      <c r="C101" s="311" t="s">
        <v>930</v>
      </c>
      <c r="D101" s="334">
        <f t="shared" si="2"/>
        <v>44.625</v>
      </c>
      <c r="E101" s="334">
        <f t="shared" si="2"/>
        <v>45.375</v>
      </c>
      <c r="F101" s="331"/>
      <c r="G101" s="331"/>
      <c r="H101" s="28"/>
      <c r="I101" s="28"/>
    </row>
    <row r="102" spans="1:9" x14ac:dyDescent="0.25">
      <c r="A102" s="899"/>
      <c r="B102" s="1094"/>
      <c r="C102" s="311" t="s">
        <v>931</v>
      </c>
      <c r="D102" s="334">
        <f t="shared" si="2"/>
        <v>34.07692307692308</v>
      </c>
      <c r="E102" s="334">
        <f t="shared" si="2"/>
        <v>23.2</v>
      </c>
      <c r="F102" s="331"/>
      <c r="G102" s="331"/>
      <c r="H102" s="28"/>
      <c r="I102" s="28"/>
    </row>
    <row r="103" spans="1:9" x14ac:dyDescent="0.25">
      <c r="A103" s="899"/>
      <c r="B103" s="1094"/>
      <c r="C103" s="311" t="s">
        <v>932</v>
      </c>
      <c r="D103" s="334">
        <f t="shared" si="2"/>
        <v>34.111111111111114</v>
      </c>
      <c r="E103" s="334">
        <f t="shared" si="2"/>
        <v>47.857142857142854</v>
      </c>
      <c r="F103" s="331"/>
      <c r="G103" s="331"/>
      <c r="H103" s="28"/>
      <c r="I103" s="28"/>
    </row>
    <row r="104" spans="1:9" x14ac:dyDescent="0.25">
      <c r="A104" s="899"/>
      <c r="B104" s="1094"/>
      <c r="C104" s="323" t="s">
        <v>81</v>
      </c>
      <c r="D104" s="332">
        <f t="shared" si="2"/>
        <v>38.80952380952381</v>
      </c>
      <c r="E104" s="471">
        <f t="shared" si="2"/>
        <v>42.769230769230766</v>
      </c>
      <c r="F104" s="337"/>
      <c r="G104" s="337"/>
      <c r="H104" s="28"/>
      <c r="I104" s="28"/>
    </row>
    <row r="105" spans="1:9" ht="14.25" customHeight="1" x14ac:dyDescent="0.25">
      <c r="A105" s="895" t="s">
        <v>946</v>
      </c>
      <c r="B105" s="1095" t="s">
        <v>947</v>
      </c>
      <c r="C105" s="311" t="s">
        <v>929</v>
      </c>
      <c r="D105" s="565" t="s">
        <v>948</v>
      </c>
      <c r="E105" s="564">
        <v>32</v>
      </c>
      <c r="F105" s="331"/>
      <c r="G105" s="331"/>
      <c r="H105" s="28"/>
      <c r="I105" s="28"/>
    </row>
    <row r="106" spans="1:9" x14ac:dyDescent="0.25">
      <c r="A106" s="895"/>
      <c r="B106" s="1096"/>
      <c r="C106" s="311" t="s">
        <v>930</v>
      </c>
      <c r="D106" s="565">
        <v>49</v>
      </c>
      <c r="E106" s="564" t="s">
        <v>948</v>
      </c>
      <c r="F106" s="331"/>
      <c r="G106" s="331"/>
      <c r="H106" s="28"/>
      <c r="I106" s="28"/>
    </row>
    <row r="107" spans="1:9" x14ac:dyDescent="0.25">
      <c r="A107" s="895"/>
      <c r="B107" s="1096"/>
      <c r="C107" s="311" t="s">
        <v>931</v>
      </c>
      <c r="D107" s="565" t="s">
        <v>948</v>
      </c>
      <c r="E107" s="564" t="s">
        <v>948</v>
      </c>
      <c r="F107" s="331"/>
      <c r="G107" s="331"/>
      <c r="H107" s="28"/>
      <c r="I107" s="28"/>
    </row>
    <row r="108" spans="1:9" x14ac:dyDescent="0.25">
      <c r="A108" s="895"/>
      <c r="B108" s="1096"/>
      <c r="C108" s="311" t="s">
        <v>932</v>
      </c>
      <c r="D108" s="565" t="s">
        <v>948</v>
      </c>
      <c r="E108" s="564" t="s">
        <v>948</v>
      </c>
      <c r="F108" s="331"/>
      <c r="G108" s="331"/>
      <c r="H108" s="28"/>
      <c r="I108" s="28"/>
    </row>
    <row r="109" spans="1:9" x14ac:dyDescent="0.25">
      <c r="A109" s="895"/>
      <c r="B109" s="1097"/>
      <c r="C109" s="323" t="s">
        <v>81</v>
      </c>
      <c r="D109" s="338">
        <f>SUM(D105:D108)</f>
        <v>49</v>
      </c>
      <c r="E109" s="338">
        <f>SUM(E105:E108)</f>
        <v>32</v>
      </c>
      <c r="F109" s="337"/>
      <c r="G109" s="337"/>
      <c r="H109" s="28"/>
      <c r="I109" s="28"/>
    </row>
    <row r="110" spans="1:9" x14ac:dyDescent="0.25">
      <c r="A110" s="895"/>
      <c r="B110" s="1094" t="s">
        <v>949</v>
      </c>
      <c r="C110" s="311" t="s">
        <v>929</v>
      </c>
      <c r="D110" s="565" t="s">
        <v>948</v>
      </c>
      <c r="E110" s="564">
        <v>1</v>
      </c>
      <c r="F110" s="331"/>
      <c r="G110" s="331"/>
      <c r="H110" s="28"/>
      <c r="I110" s="28"/>
    </row>
    <row r="111" spans="1:9" x14ac:dyDescent="0.25">
      <c r="A111" s="895"/>
      <c r="B111" s="1094"/>
      <c r="C111" s="311" t="s">
        <v>930</v>
      </c>
      <c r="D111" s="565">
        <v>1</v>
      </c>
      <c r="E111" s="564" t="s">
        <v>948</v>
      </c>
      <c r="F111" s="331"/>
      <c r="G111" s="331"/>
      <c r="H111" s="28"/>
      <c r="I111" s="28"/>
    </row>
    <row r="112" spans="1:9" x14ac:dyDescent="0.25">
      <c r="A112" s="895"/>
      <c r="B112" s="1094"/>
      <c r="C112" s="311" t="s">
        <v>931</v>
      </c>
      <c r="D112" s="565" t="s">
        <v>948</v>
      </c>
      <c r="E112" s="564" t="s">
        <v>948</v>
      </c>
      <c r="F112" s="331"/>
      <c r="G112" s="331"/>
      <c r="H112" s="28"/>
      <c r="I112" s="28"/>
    </row>
    <row r="113" spans="1:15" x14ac:dyDescent="0.25">
      <c r="A113" s="895"/>
      <c r="B113" s="1094"/>
      <c r="C113" s="311" t="s">
        <v>932</v>
      </c>
      <c r="D113" s="565" t="s">
        <v>948</v>
      </c>
      <c r="E113" s="564" t="s">
        <v>948</v>
      </c>
      <c r="F113" s="331"/>
      <c r="G113" s="331"/>
      <c r="H113" s="28"/>
      <c r="I113" s="28"/>
    </row>
    <row r="114" spans="1:15" x14ac:dyDescent="0.25">
      <c r="A114" s="895"/>
      <c r="B114" s="1094"/>
      <c r="C114" s="323" t="s">
        <v>81</v>
      </c>
      <c r="D114" s="338">
        <f>SUM(D110:D113)</f>
        <v>1</v>
      </c>
      <c r="E114" s="338">
        <f>SUM(E110:E113)</f>
        <v>1</v>
      </c>
      <c r="F114" s="337"/>
      <c r="G114" s="337"/>
      <c r="H114" s="28"/>
      <c r="I114" s="28"/>
    </row>
    <row r="115" spans="1:15" x14ac:dyDescent="0.25">
      <c r="A115" s="895"/>
      <c r="B115" s="1094" t="s">
        <v>950</v>
      </c>
      <c r="C115" s="311" t="s">
        <v>929</v>
      </c>
      <c r="D115" s="565" t="s">
        <v>948</v>
      </c>
      <c r="E115" s="564">
        <f>+E105/E110</f>
        <v>32</v>
      </c>
      <c r="F115" s="331"/>
      <c r="G115" s="331"/>
      <c r="H115" s="28"/>
      <c r="I115" s="28"/>
    </row>
    <row r="116" spans="1:15" x14ac:dyDescent="0.25">
      <c r="A116" s="895"/>
      <c r="B116" s="1094"/>
      <c r="C116" s="311" t="s">
        <v>930</v>
      </c>
      <c r="D116" s="565">
        <f>+D106/D111</f>
        <v>49</v>
      </c>
      <c r="E116" s="565" t="s">
        <v>948</v>
      </c>
      <c r="F116" s="331"/>
      <c r="G116" s="331"/>
      <c r="H116" s="28"/>
      <c r="I116" s="28"/>
    </row>
    <row r="117" spans="1:15" x14ac:dyDescent="0.25">
      <c r="A117" s="895"/>
      <c r="B117" s="1094"/>
      <c r="C117" s="311" t="s">
        <v>931</v>
      </c>
      <c r="D117" s="565" t="s">
        <v>948</v>
      </c>
      <c r="E117" s="565" t="s">
        <v>948</v>
      </c>
      <c r="F117" s="331"/>
      <c r="G117" s="331"/>
      <c r="H117" s="28"/>
      <c r="I117" s="28"/>
    </row>
    <row r="118" spans="1:15" x14ac:dyDescent="0.25">
      <c r="A118" s="895"/>
      <c r="B118" s="1094"/>
      <c r="C118" s="311" t="s">
        <v>932</v>
      </c>
      <c r="D118" s="565" t="s">
        <v>948</v>
      </c>
      <c r="E118" s="564" t="s">
        <v>948</v>
      </c>
      <c r="F118" s="331"/>
      <c r="G118" s="331"/>
      <c r="H118" s="28"/>
      <c r="I118" s="28"/>
    </row>
    <row r="119" spans="1:15" x14ac:dyDescent="0.25">
      <c r="A119" s="895"/>
      <c r="B119" s="1094"/>
      <c r="C119" s="323" t="s">
        <v>81</v>
      </c>
      <c r="D119" s="338">
        <f>+D109/D114</f>
        <v>49</v>
      </c>
      <c r="E119" s="338">
        <f>+E109/E114</f>
        <v>32</v>
      </c>
      <c r="F119" s="337"/>
      <c r="G119" s="337"/>
      <c r="H119" s="28"/>
      <c r="I119" s="28"/>
    </row>
    <row r="120" spans="1:15" ht="17.5" x14ac:dyDescent="0.25">
      <c r="A120" s="556"/>
      <c r="B120" s="339"/>
      <c r="C120" s="301"/>
      <c r="D120" s="340"/>
      <c r="E120" s="28"/>
      <c r="F120" s="28"/>
      <c r="G120" s="28"/>
      <c r="H120" s="28"/>
      <c r="I120" s="28"/>
      <c r="J120" s="28"/>
      <c r="K120" s="28"/>
      <c r="L120" s="28"/>
    </row>
    <row r="122" spans="1:15" ht="31.5" customHeight="1" x14ac:dyDescent="0.25">
      <c r="A122" s="885" t="str">
        <f>+PORCENTAJE_____DE_TRÁMITES_RESUELTOS_EN_UN_TIEMPO_IGUAL_O_INFERIOR_A_LO_REGLAMENTADO_EN_EL_SGC.__LICENCIAS_AMBIENTALES__115_DÍAS_HÁBILES_.__CONCESIONES_DE_AGUAS_SUBTERRÁNEAS_Y_SUPERFICIALES__55_DÍAS_HÁBILES_.__PERMISOS_DE_VERTIMIENTOS__55_DÍAS_HÁBILES_.</f>
        <v>DESARROLLAR SEGUIMIENTO QUINCENAL  A LOS TRAMITES QUE TIENEN RIESGO DE INCUMPLIMIENTO DE LOS TIEMPOS ESTABLECIDOS PARA DAR RESPUESTA A LOS USUARIOS</v>
      </c>
      <c r="B122" s="885"/>
      <c r="C122" s="885"/>
      <c r="D122" s="885"/>
      <c r="E122" s="885"/>
      <c r="F122" s="885"/>
      <c r="G122" s="885"/>
      <c r="H122" s="885"/>
      <c r="I122" s="885"/>
      <c r="J122" s="885"/>
      <c r="K122" s="885"/>
      <c r="L122" s="885"/>
      <c r="M122" s="885"/>
      <c r="N122" s="885"/>
      <c r="O122" s="885"/>
    </row>
    <row r="124" spans="1:15" ht="41.25" customHeight="1" x14ac:dyDescent="0.25">
      <c r="A124" s="26"/>
      <c r="G124" s="341">
        <v>2016</v>
      </c>
      <c r="H124" s="341">
        <v>2017</v>
      </c>
      <c r="I124" s="341">
        <v>2018</v>
      </c>
      <c r="J124" s="341">
        <v>2019</v>
      </c>
      <c r="K124" s="341">
        <v>2020</v>
      </c>
      <c r="L124" s="341">
        <v>2021</v>
      </c>
    </row>
    <row r="125" spans="1:15" ht="36" customHeight="1" x14ac:dyDescent="0.25">
      <c r="A125" s="866" t="s">
        <v>203</v>
      </c>
      <c r="B125" s="867"/>
      <c r="C125" s="867"/>
      <c r="D125" s="867"/>
      <c r="E125" s="867"/>
      <c r="F125" s="867"/>
      <c r="G125" s="27">
        <f>+L139</f>
        <v>0</v>
      </c>
      <c r="H125" s="27" t="str">
        <f>+O139</f>
        <v>NA</v>
      </c>
      <c r="I125" s="27"/>
      <c r="J125" s="152"/>
      <c r="K125" s="27"/>
      <c r="L125" s="27"/>
    </row>
    <row r="126" spans="1:15" ht="36" customHeight="1" x14ac:dyDescent="0.25">
      <c r="A126" s="866" t="s">
        <v>205</v>
      </c>
      <c r="B126" s="867"/>
      <c r="C126" s="867"/>
      <c r="D126" s="867"/>
      <c r="E126" s="867"/>
      <c r="F126" s="867"/>
      <c r="G126" s="27">
        <f>+L144</f>
        <v>0.74137931034482762</v>
      </c>
      <c r="H126" s="530">
        <f>+O144</f>
        <v>0.94871794871794868</v>
      </c>
      <c r="I126" s="152"/>
      <c r="J126" s="152"/>
      <c r="K126" s="27"/>
      <c r="L126" s="27"/>
    </row>
    <row r="127" spans="1:15" ht="36" customHeight="1" x14ac:dyDescent="0.25">
      <c r="A127" s="866" t="s">
        <v>206</v>
      </c>
      <c r="B127" s="867"/>
      <c r="C127" s="867"/>
      <c r="D127" s="867"/>
      <c r="E127" s="867"/>
      <c r="F127" s="867"/>
      <c r="G127" s="27">
        <f>+L149</f>
        <v>0.40740740740740738</v>
      </c>
      <c r="H127" s="27">
        <f>+O149</f>
        <v>0.50526315789473686</v>
      </c>
      <c r="I127" s="27"/>
      <c r="J127" s="152"/>
      <c r="K127" s="27"/>
      <c r="L127" s="27"/>
    </row>
    <row r="128" spans="1:15" ht="36" customHeight="1" x14ac:dyDescent="0.25">
      <c r="A128" s="866" t="s">
        <v>550</v>
      </c>
      <c r="B128" s="867"/>
      <c r="C128" s="867"/>
      <c r="D128" s="867"/>
      <c r="E128" s="867"/>
      <c r="F128" s="867"/>
      <c r="G128" s="27">
        <f>+L154</f>
        <v>0.78</v>
      </c>
      <c r="H128" s="530">
        <f>+O154</f>
        <v>0.84615384615384615</v>
      </c>
      <c r="I128" s="152"/>
      <c r="J128" s="152"/>
      <c r="K128" s="27"/>
      <c r="L128" s="27"/>
    </row>
    <row r="129" spans="1:15" ht="36" customHeight="1" x14ac:dyDescent="0.25">
      <c r="A129" s="866" t="s">
        <v>1166</v>
      </c>
      <c r="B129" s="867"/>
      <c r="C129" s="867"/>
      <c r="D129" s="558"/>
      <c r="E129" s="558"/>
      <c r="F129" s="558"/>
      <c r="G129" s="27">
        <f>+L159</f>
        <v>1</v>
      </c>
      <c r="H129" s="530">
        <f>+O159</f>
        <v>1</v>
      </c>
      <c r="I129" s="152"/>
      <c r="J129" s="152"/>
      <c r="K129" s="27"/>
      <c r="L129" s="27"/>
    </row>
    <row r="130" spans="1:15" ht="36" customHeight="1" x14ac:dyDescent="0.25">
      <c r="A130" s="866" t="s">
        <v>198</v>
      </c>
      <c r="B130" s="867"/>
      <c r="C130" s="867"/>
      <c r="D130" s="867"/>
      <c r="E130" s="867"/>
      <c r="F130" s="867"/>
      <c r="G130" s="27">
        <f>+L164</f>
        <v>0.67625899280575541</v>
      </c>
      <c r="H130" s="27">
        <f>+O164</f>
        <v>0.72499999999999998</v>
      </c>
      <c r="I130" s="27"/>
      <c r="J130" s="149"/>
      <c r="K130" s="149"/>
      <c r="L130" s="149"/>
    </row>
    <row r="131" spans="1:15" s="343" customFormat="1" ht="36" customHeight="1" x14ac:dyDescent="0.25">
      <c r="A131" s="934" t="s">
        <v>76</v>
      </c>
      <c r="B131" s="935"/>
      <c r="C131" s="935"/>
      <c r="D131" s="935"/>
      <c r="E131" s="935"/>
      <c r="F131" s="935"/>
      <c r="G131" s="342">
        <v>0.8</v>
      </c>
      <c r="H131" s="342">
        <v>0.8</v>
      </c>
      <c r="I131" s="342">
        <v>0.8</v>
      </c>
      <c r="J131" s="342">
        <v>0.8</v>
      </c>
      <c r="K131" s="342">
        <v>0.8</v>
      </c>
      <c r="L131" s="342">
        <v>0.8</v>
      </c>
    </row>
    <row r="132" spans="1:15" ht="29.25" customHeight="1" x14ac:dyDescent="0.25">
      <c r="A132" s="5"/>
    </row>
    <row r="133" spans="1:15" ht="40.5" customHeight="1" x14ac:dyDescent="0.25">
      <c r="A133" s="5"/>
      <c r="B133" s="28"/>
      <c r="C133" s="28"/>
      <c r="D133" s="340"/>
      <c r="G133" s="936" t="s">
        <v>951</v>
      </c>
      <c r="H133" s="936" t="s">
        <v>952</v>
      </c>
      <c r="I133" s="936" t="s">
        <v>953</v>
      </c>
      <c r="J133" s="1093" t="s">
        <v>1145</v>
      </c>
      <c r="K133" s="1093"/>
      <c r="L133" s="1093"/>
      <c r="M133" s="1093" t="s">
        <v>1167</v>
      </c>
      <c r="N133" s="1093"/>
      <c r="O133" s="1093"/>
    </row>
    <row r="134" spans="1:15" ht="59.25" customHeight="1" x14ac:dyDescent="0.25">
      <c r="A134" s="5"/>
      <c r="G134" s="937"/>
      <c r="H134" s="937"/>
      <c r="I134" s="937"/>
      <c r="J134" s="475" t="s">
        <v>954</v>
      </c>
      <c r="K134" s="476" t="s">
        <v>955</v>
      </c>
      <c r="L134" s="477"/>
      <c r="M134" s="478" t="s">
        <v>954</v>
      </c>
      <c r="N134" s="478" t="s">
        <v>955</v>
      </c>
      <c r="O134" s="479" t="s">
        <v>1147</v>
      </c>
    </row>
    <row r="135" spans="1:15" ht="36.75" customHeight="1" x14ac:dyDescent="0.3">
      <c r="B135" s="29"/>
      <c r="C135" s="30"/>
      <c r="D135" s="344"/>
      <c r="G135" s="859">
        <v>2016</v>
      </c>
      <c r="H135" s="861" t="s">
        <v>203</v>
      </c>
      <c r="I135" s="45" t="s">
        <v>212</v>
      </c>
      <c r="J135" s="167">
        <v>0</v>
      </c>
      <c r="K135" s="167">
        <v>1</v>
      </c>
      <c r="L135" s="480">
        <f>+J135/K135</f>
        <v>0</v>
      </c>
      <c r="M135" s="245"/>
      <c r="N135" s="167"/>
      <c r="O135" s="167" t="s">
        <v>948</v>
      </c>
    </row>
    <row r="136" spans="1:15" ht="36.75" customHeight="1" x14ac:dyDescent="0.3">
      <c r="B136" s="29"/>
      <c r="C136" s="30"/>
      <c r="D136" s="344"/>
      <c r="G136" s="859"/>
      <c r="H136" s="861"/>
      <c r="I136" s="45" t="s">
        <v>213</v>
      </c>
      <c r="J136" s="167">
        <v>0</v>
      </c>
      <c r="K136" s="167">
        <v>2</v>
      </c>
      <c r="L136" s="480">
        <f>+J136/K136</f>
        <v>0</v>
      </c>
      <c r="M136" s="245"/>
      <c r="N136" s="167"/>
      <c r="O136" s="167" t="s">
        <v>948</v>
      </c>
    </row>
    <row r="137" spans="1:15" ht="36.75" customHeight="1" x14ac:dyDescent="0.3">
      <c r="B137" s="29"/>
      <c r="C137" s="30"/>
      <c r="D137" s="344"/>
      <c r="G137" s="859"/>
      <c r="H137" s="861"/>
      <c r="I137" s="45" t="s">
        <v>214</v>
      </c>
      <c r="J137" s="167" t="s">
        <v>948</v>
      </c>
      <c r="K137" s="167" t="s">
        <v>948</v>
      </c>
      <c r="L137" s="480" t="s">
        <v>948</v>
      </c>
      <c r="M137" s="245"/>
      <c r="N137" s="167"/>
      <c r="O137" s="167" t="s">
        <v>948</v>
      </c>
    </row>
    <row r="138" spans="1:15" ht="36.75" customHeight="1" x14ac:dyDescent="0.3">
      <c r="B138" s="29"/>
      <c r="C138" s="30"/>
      <c r="D138" s="344"/>
      <c r="G138" s="859"/>
      <c r="H138" s="861"/>
      <c r="I138" s="45" t="s">
        <v>215</v>
      </c>
      <c r="J138" s="167" t="s">
        <v>948</v>
      </c>
      <c r="K138" s="167" t="s">
        <v>948</v>
      </c>
      <c r="L138" s="480" t="s">
        <v>948</v>
      </c>
      <c r="M138" s="245"/>
      <c r="N138" s="167"/>
      <c r="O138" s="167" t="s">
        <v>948</v>
      </c>
    </row>
    <row r="139" spans="1:15" ht="36.75" customHeight="1" x14ac:dyDescent="0.3">
      <c r="B139" s="29"/>
      <c r="C139" s="30"/>
      <c r="D139" s="344"/>
      <c r="G139" s="859"/>
      <c r="H139" s="861"/>
      <c r="I139" s="35" t="s">
        <v>216</v>
      </c>
      <c r="J139" s="168">
        <f>SUM(J135:J138)</f>
        <v>0</v>
      </c>
      <c r="K139" s="168">
        <f>SUM(K135:K138)</f>
        <v>3</v>
      </c>
      <c r="L139" s="483">
        <f t="shared" ref="L139:L154" si="3">+J139/K139</f>
        <v>0</v>
      </c>
      <c r="M139" s="531" t="s">
        <v>948</v>
      </c>
      <c r="N139" s="168" t="s">
        <v>948</v>
      </c>
      <c r="O139" s="168" t="s">
        <v>948</v>
      </c>
    </row>
    <row r="140" spans="1:15" ht="36.75" customHeight="1" x14ac:dyDescent="0.3">
      <c r="B140" s="29"/>
      <c r="C140" s="30"/>
      <c r="D140" s="344"/>
      <c r="G140" s="859"/>
      <c r="H140" s="861" t="s">
        <v>1168</v>
      </c>
      <c r="I140" s="45" t="s">
        <v>212</v>
      </c>
      <c r="J140" s="167">
        <v>3</v>
      </c>
      <c r="K140" s="167">
        <v>4</v>
      </c>
      <c r="L140" s="480">
        <f t="shared" si="3"/>
        <v>0.75</v>
      </c>
      <c r="M140" s="45">
        <v>7</v>
      </c>
      <c r="N140" s="167">
        <v>8</v>
      </c>
      <c r="O140" s="486">
        <f t="shared" ref="O140:O155" si="4">+M140/N140</f>
        <v>0.875</v>
      </c>
    </row>
    <row r="141" spans="1:15" ht="36.75" customHeight="1" x14ac:dyDescent="0.3">
      <c r="B141" s="29"/>
      <c r="C141" s="30"/>
      <c r="D141" s="344"/>
      <c r="G141" s="859"/>
      <c r="H141" s="861"/>
      <c r="I141" s="45" t="s">
        <v>213</v>
      </c>
      <c r="J141" s="167">
        <v>13</v>
      </c>
      <c r="K141" s="167">
        <v>15</v>
      </c>
      <c r="L141" s="480">
        <f t="shared" si="3"/>
        <v>0.8666666666666667</v>
      </c>
      <c r="M141" s="45">
        <v>19</v>
      </c>
      <c r="N141" s="167">
        <v>19</v>
      </c>
      <c r="O141" s="486">
        <f t="shared" si="4"/>
        <v>1</v>
      </c>
    </row>
    <row r="142" spans="1:15" ht="36.75" customHeight="1" x14ac:dyDescent="0.3">
      <c r="B142" s="29"/>
      <c r="C142" s="30"/>
      <c r="D142" s="344"/>
      <c r="G142" s="859"/>
      <c r="H142" s="861"/>
      <c r="I142" s="45" t="s">
        <v>214</v>
      </c>
      <c r="J142" s="167">
        <v>11</v>
      </c>
      <c r="K142" s="167">
        <v>21</v>
      </c>
      <c r="L142" s="480">
        <f t="shared" si="3"/>
        <v>0.52380952380952384</v>
      </c>
      <c r="M142" s="45">
        <v>29</v>
      </c>
      <c r="N142" s="167">
        <v>32</v>
      </c>
      <c r="O142" s="486">
        <f t="shared" si="4"/>
        <v>0.90625</v>
      </c>
    </row>
    <row r="143" spans="1:15" ht="36.75" customHeight="1" x14ac:dyDescent="0.3">
      <c r="B143" s="29"/>
      <c r="C143" s="30"/>
      <c r="D143" s="344"/>
      <c r="G143" s="859"/>
      <c r="H143" s="861"/>
      <c r="I143" s="45" t="s">
        <v>215</v>
      </c>
      <c r="J143" s="167">
        <v>16</v>
      </c>
      <c r="K143" s="167">
        <v>18</v>
      </c>
      <c r="L143" s="480">
        <f t="shared" si="3"/>
        <v>0.88888888888888884</v>
      </c>
      <c r="M143" s="45">
        <v>19</v>
      </c>
      <c r="N143" s="167">
        <v>19</v>
      </c>
      <c r="O143" s="486">
        <f t="shared" si="4"/>
        <v>1</v>
      </c>
    </row>
    <row r="144" spans="1:15" ht="36.75" customHeight="1" x14ac:dyDescent="0.3">
      <c r="B144" s="29"/>
      <c r="C144" s="30"/>
      <c r="D144" s="344"/>
      <c r="G144" s="859"/>
      <c r="H144" s="861"/>
      <c r="I144" s="35" t="s">
        <v>216</v>
      </c>
      <c r="J144" s="168">
        <f>SUM(J140:J143)</f>
        <v>43</v>
      </c>
      <c r="K144" s="168">
        <f>SUM(K140:K143)</f>
        <v>58</v>
      </c>
      <c r="L144" s="483">
        <f t="shared" si="3"/>
        <v>0.74137931034482762</v>
      </c>
      <c r="M144" s="35">
        <f>SUM(M140:M143)</f>
        <v>74</v>
      </c>
      <c r="N144" s="35">
        <f>SUM(N140:N143)</f>
        <v>78</v>
      </c>
      <c r="O144" s="532">
        <f t="shared" si="4"/>
        <v>0.94871794871794868</v>
      </c>
    </row>
    <row r="145" spans="2:15" ht="36.75" customHeight="1" x14ac:dyDescent="0.3">
      <c r="B145" s="29"/>
      <c r="C145" s="30"/>
      <c r="D145" s="344"/>
      <c r="G145" s="859"/>
      <c r="H145" s="861" t="s">
        <v>1169</v>
      </c>
      <c r="I145" s="45" t="s">
        <v>212</v>
      </c>
      <c r="J145" s="167">
        <v>2</v>
      </c>
      <c r="K145" s="167">
        <v>5</v>
      </c>
      <c r="L145" s="480">
        <f t="shared" si="3"/>
        <v>0.4</v>
      </c>
      <c r="M145" s="45">
        <v>4</v>
      </c>
      <c r="N145" s="167">
        <v>6</v>
      </c>
      <c r="O145" s="486">
        <f t="shared" si="4"/>
        <v>0.66666666666666663</v>
      </c>
    </row>
    <row r="146" spans="2:15" ht="36.75" customHeight="1" x14ac:dyDescent="0.3">
      <c r="B146" s="29"/>
      <c r="C146" s="30"/>
      <c r="D146" s="344"/>
      <c r="G146" s="859"/>
      <c r="H146" s="861"/>
      <c r="I146" s="45" t="s">
        <v>213</v>
      </c>
      <c r="J146" s="167">
        <v>2</v>
      </c>
      <c r="K146" s="167">
        <v>8</v>
      </c>
      <c r="L146" s="480">
        <f t="shared" si="3"/>
        <v>0.25</v>
      </c>
      <c r="M146" s="45">
        <v>15</v>
      </c>
      <c r="N146" s="167">
        <v>33</v>
      </c>
      <c r="O146" s="486">
        <f t="shared" si="4"/>
        <v>0.45454545454545453</v>
      </c>
    </row>
    <row r="147" spans="2:15" ht="36.75" customHeight="1" x14ac:dyDescent="0.3">
      <c r="B147" s="29"/>
      <c r="C147" s="30"/>
      <c r="D147" s="344"/>
      <c r="G147" s="859"/>
      <c r="H147" s="861"/>
      <c r="I147" s="45" t="s">
        <v>214</v>
      </c>
      <c r="J147" s="167">
        <v>5</v>
      </c>
      <c r="K147" s="167">
        <v>10</v>
      </c>
      <c r="L147" s="480">
        <f t="shared" si="3"/>
        <v>0.5</v>
      </c>
      <c r="M147" s="45">
        <v>13</v>
      </c>
      <c r="N147" s="167">
        <v>35</v>
      </c>
      <c r="O147" s="486">
        <f t="shared" si="4"/>
        <v>0.37142857142857144</v>
      </c>
    </row>
    <row r="148" spans="2:15" ht="36.75" customHeight="1" x14ac:dyDescent="0.3">
      <c r="B148" s="29"/>
      <c r="C148" s="30"/>
      <c r="D148" s="344"/>
      <c r="G148" s="859"/>
      <c r="H148" s="861"/>
      <c r="I148" s="45" t="s">
        <v>215</v>
      </c>
      <c r="J148" s="167">
        <v>2</v>
      </c>
      <c r="K148" s="167">
        <v>4</v>
      </c>
      <c r="L148" s="480">
        <f t="shared" si="3"/>
        <v>0.5</v>
      </c>
      <c r="M148" s="45">
        <v>16</v>
      </c>
      <c r="N148" s="167">
        <v>21</v>
      </c>
      <c r="O148" s="486">
        <f t="shared" si="4"/>
        <v>0.76190476190476186</v>
      </c>
    </row>
    <row r="149" spans="2:15" ht="36.75" customHeight="1" x14ac:dyDescent="0.3">
      <c r="B149" s="29"/>
      <c r="C149" s="30"/>
      <c r="D149" s="344"/>
      <c r="G149" s="859"/>
      <c r="H149" s="861"/>
      <c r="I149" s="35" t="s">
        <v>216</v>
      </c>
      <c r="J149" s="168">
        <f>SUM(J145:J148)</f>
        <v>11</v>
      </c>
      <c r="K149" s="168">
        <f>SUM(K145:K148)</f>
        <v>27</v>
      </c>
      <c r="L149" s="483">
        <f t="shared" si="3"/>
        <v>0.40740740740740738</v>
      </c>
      <c r="M149" s="35">
        <f>SUM(M145:M148)</f>
        <v>48</v>
      </c>
      <c r="N149" s="35">
        <f>SUM(N145:N148)</f>
        <v>95</v>
      </c>
      <c r="O149" s="532">
        <f t="shared" si="4"/>
        <v>0.50526315789473686</v>
      </c>
    </row>
    <row r="150" spans="2:15" ht="36.75" customHeight="1" x14ac:dyDescent="0.3">
      <c r="B150" s="29"/>
      <c r="C150" s="30"/>
      <c r="D150" s="344"/>
      <c r="G150" s="859"/>
      <c r="H150" s="861" t="s">
        <v>1170</v>
      </c>
      <c r="I150" s="45" t="s">
        <v>212</v>
      </c>
      <c r="J150" s="167">
        <v>3</v>
      </c>
      <c r="K150" s="167">
        <v>4</v>
      </c>
      <c r="L150" s="480">
        <f t="shared" si="3"/>
        <v>0.75</v>
      </c>
      <c r="M150" s="45">
        <v>5</v>
      </c>
      <c r="N150" s="167">
        <v>6</v>
      </c>
      <c r="O150" s="486">
        <f t="shared" si="4"/>
        <v>0.83333333333333337</v>
      </c>
    </row>
    <row r="151" spans="2:15" ht="36.75" customHeight="1" x14ac:dyDescent="0.3">
      <c r="B151" s="29"/>
      <c r="C151" s="30"/>
      <c r="D151" s="344"/>
      <c r="G151" s="859"/>
      <c r="H151" s="861"/>
      <c r="I151" s="45" t="s">
        <v>213</v>
      </c>
      <c r="J151" s="167">
        <v>11</v>
      </c>
      <c r="K151" s="167">
        <v>16</v>
      </c>
      <c r="L151" s="480">
        <f t="shared" si="3"/>
        <v>0.6875</v>
      </c>
      <c r="M151" s="45">
        <v>5</v>
      </c>
      <c r="N151" s="167">
        <v>8</v>
      </c>
      <c r="O151" s="486">
        <f t="shared" si="4"/>
        <v>0.625</v>
      </c>
    </row>
    <row r="152" spans="2:15" ht="36.75" customHeight="1" x14ac:dyDescent="0.3">
      <c r="B152" s="29"/>
      <c r="C152" s="30"/>
      <c r="D152" s="344"/>
      <c r="G152" s="859"/>
      <c r="H152" s="861"/>
      <c r="I152" s="45" t="s">
        <v>214</v>
      </c>
      <c r="J152" s="167">
        <v>11</v>
      </c>
      <c r="K152" s="167">
        <v>14</v>
      </c>
      <c r="L152" s="480">
        <f t="shared" si="3"/>
        <v>0.7857142857142857</v>
      </c>
      <c r="M152" s="45">
        <v>5</v>
      </c>
      <c r="N152" s="167">
        <v>5</v>
      </c>
      <c r="O152" s="486">
        <f t="shared" si="4"/>
        <v>1</v>
      </c>
    </row>
    <row r="153" spans="2:15" ht="36.75" customHeight="1" x14ac:dyDescent="0.3">
      <c r="B153" s="29"/>
      <c r="C153" s="30"/>
      <c r="D153" s="344"/>
      <c r="G153" s="859"/>
      <c r="H153" s="861"/>
      <c r="I153" s="45" t="s">
        <v>215</v>
      </c>
      <c r="J153" s="167">
        <v>14</v>
      </c>
      <c r="K153" s="167">
        <v>16</v>
      </c>
      <c r="L153" s="480">
        <f t="shared" si="3"/>
        <v>0.875</v>
      </c>
      <c r="M153" s="45">
        <v>7</v>
      </c>
      <c r="N153" s="167">
        <v>7</v>
      </c>
      <c r="O153" s="486">
        <f t="shared" si="4"/>
        <v>1</v>
      </c>
    </row>
    <row r="154" spans="2:15" ht="36.75" customHeight="1" x14ac:dyDescent="0.3">
      <c r="B154" s="29"/>
      <c r="C154" s="30"/>
      <c r="D154" s="344"/>
      <c r="G154" s="859"/>
      <c r="H154" s="861"/>
      <c r="I154" s="35" t="s">
        <v>216</v>
      </c>
      <c r="J154" s="168">
        <f>SUM(J150:J153)</f>
        <v>39</v>
      </c>
      <c r="K154" s="168">
        <f>SUM(K150:K153)</f>
        <v>50</v>
      </c>
      <c r="L154" s="483">
        <f t="shared" si="3"/>
        <v>0.78</v>
      </c>
      <c r="M154" s="35">
        <f>SUM(M150:M153)</f>
        <v>22</v>
      </c>
      <c r="N154" s="35">
        <f>SUM(N150:N153)</f>
        <v>26</v>
      </c>
      <c r="O154" s="532">
        <f t="shared" si="4"/>
        <v>0.84615384615384615</v>
      </c>
    </row>
    <row r="155" spans="2:15" ht="36.75" customHeight="1" x14ac:dyDescent="0.3">
      <c r="B155" s="29"/>
      <c r="C155" s="30"/>
      <c r="D155" s="344"/>
      <c r="G155" s="859"/>
      <c r="H155" s="862" t="s">
        <v>957</v>
      </c>
      <c r="I155" s="45" t="s">
        <v>212</v>
      </c>
      <c r="J155" s="167" t="s">
        <v>948</v>
      </c>
      <c r="K155" s="167" t="s">
        <v>948</v>
      </c>
      <c r="L155" s="480" t="s">
        <v>948</v>
      </c>
      <c r="M155" s="45">
        <v>1</v>
      </c>
      <c r="N155" s="167">
        <v>1</v>
      </c>
      <c r="O155" s="486">
        <f t="shared" si="4"/>
        <v>1</v>
      </c>
    </row>
    <row r="156" spans="2:15" ht="36.75" customHeight="1" x14ac:dyDescent="0.3">
      <c r="B156" s="29"/>
      <c r="C156" s="30"/>
      <c r="D156" s="344"/>
      <c r="G156" s="859"/>
      <c r="H156" s="932"/>
      <c r="I156" s="45" t="s">
        <v>213</v>
      </c>
      <c r="J156" s="167">
        <v>1</v>
      </c>
      <c r="K156" s="167">
        <v>1</v>
      </c>
      <c r="L156" s="480">
        <f>+J156/K156</f>
        <v>1</v>
      </c>
      <c r="M156" s="45"/>
      <c r="N156" s="167"/>
      <c r="O156" s="167"/>
    </row>
    <row r="157" spans="2:15" ht="36.75" customHeight="1" x14ac:dyDescent="0.3">
      <c r="B157" s="29"/>
      <c r="C157" s="30"/>
      <c r="D157" s="344"/>
      <c r="G157" s="859"/>
      <c r="H157" s="932"/>
      <c r="I157" s="45" t="s">
        <v>214</v>
      </c>
      <c r="J157" s="167" t="s">
        <v>948</v>
      </c>
      <c r="K157" s="167" t="s">
        <v>948</v>
      </c>
      <c r="L157" s="480" t="s">
        <v>948</v>
      </c>
      <c r="M157" s="45"/>
      <c r="N157" s="167"/>
      <c r="O157" s="167"/>
    </row>
    <row r="158" spans="2:15" ht="36.75" customHeight="1" x14ac:dyDescent="0.3">
      <c r="B158" s="29"/>
      <c r="C158" s="30"/>
      <c r="D158" s="344"/>
      <c r="G158" s="859"/>
      <c r="H158" s="932"/>
      <c r="I158" s="45" t="s">
        <v>215</v>
      </c>
      <c r="J158" s="167" t="s">
        <v>948</v>
      </c>
      <c r="K158" s="167" t="s">
        <v>948</v>
      </c>
      <c r="L158" s="480" t="s">
        <v>948</v>
      </c>
      <c r="M158" s="45"/>
      <c r="N158" s="167"/>
      <c r="O158" s="167"/>
    </row>
    <row r="159" spans="2:15" ht="36.75" customHeight="1" x14ac:dyDescent="0.3">
      <c r="B159" s="29"/>
      <c r="C159" s="30"/>
      <c r="D159" s="344"/>
      <c r="G159" s="859"/>
      <c r="H159" s="864"/>
      <c r="I159" s="35" t="s">
        <v>216</v>
      </c>
      <c r="J159" s="168">
        <f>SUM(J155:J158)</f>
        <v>1</v>
      </c>
      <c r="K159" s="168">
        <f>SUM(K155:K158)</f>
        <v>1</v>
      </c>
      <c r="L159" s="483">
        <f t="shared" ref="L159:L164" si="5">+J159/K159</f>
        <v>1</v>
      </c>
      <c r="M159" s="35">
        <f>SUM(M155:M158)</f>
        <v>1</v>
      </c>
      <c r="N159" s="35">
        <f>SUM(N155:N158)</f>
        <v>1</v>
      </c>
      <c r="O159" s="532">
        <f t="shared" ref="O159:O164" si="6">+M159/N159</f>
        <v>1</v>
      </c>
    </row>
    <row r="160" spans="2:15" ht="36.75" customHeight="1" x14ac:dyDescent="0.3">
      <c r="B160" s="29"/>
      <c r="C160" s="30"/>
      <c r="D160" s="344"/>
      <c r="G160" s="859"/>
      <c r="H160" s="933" t="s">
        <v>81</v>
      </c>
      <c r="I160" s="45" t="s">
        <v>212</v>
      </c>
      <c r="J160" s="167">
        <f>+J135+J140+J145+J150</f>
        <v>8</v>
      </c>
      <c r="K160" s="167">
        <f>+K135+K140+K145+K150</f>
        <v>14</v>
      </c>
      <c r="L160" s="480">
        <f t="shared" si="5"/>
        <v>0.5714285714285714</v>
      </c>
      <c r="M160" s="45">
        <f>+M140+M145+M150+M155</f>
        <v>17</v>
      </c>
      <c r="N160" s="45">
        <f>+N140+N145+N150+N155</f>
        <v>21</v>
      </c>
      <c r="O160" s="486">
        <f t="shared" si="6"/>
        <v>0.80952380952380953</v>
      </c>
    </row>
    <row r="161" spans="1:15" ht="36.75" customHeight="1" x14ac:dyDescent="0.3">
      <c r="B161" s="29"/>
      <c r="C161" s="30"/>
      <c r="D161" s="344"/>
      <c r="G161" s="859"/>
      <c r="H161" s="933"/>
      <c r="I161" s="45" t="s">
        <v>213</v>
      </c>
      <c r="J161" s="167">
        <f>+J136+J141+J146+J151+J156</f>
        <v>27</v>
      </c>
      <c r="K161" s="167">
        <f>+K136+K141+K146+K151+K156</f>
        <v>42</v>
      </c>
      <c r="L161" s="480">
        <f t="shared" si="5"/>
        <v>0.6428571428571429</v>
      </c>
      <c r="M161" s="45">
        <f>+M141+M146+M151</f>
        <v>39</v>
      </c>
      <c r="N161" s="45">
        <f>+N141+N146+N151+N156</f>
        <v>60</v>
      </c>
      <c r="O161" s="486">
        <f t="shared" si="6"/>
        <v>0.65</v>
      </c>
    </row>
    <row r="162" spans="1:15" ht="36.75" customHeight="1" x14ac:dyDescent="0.3">
      <c r="B162" s="29"/>
      <c r="C162" s="30"/>
      <c r="D162" s="344"/>
      <c r="G162" s="859"/>
      <c r="H162" s="933"/>
      <c r="I162" s="45" t="s">
        <v>214</v>
      </c>
      <c r="J162" s="167">
        <f>J142+J147+J152</f>
        <v>27</v>
      </c>
      <c r="K162" s="167">
        <f>K142+K147+K152</f>
        <v>45</v>
      </c>
      <c r="L162" s="480">
        <f t="shared" si="5"/>
        <v>0.6</v>
      </c>
      <c r="M162" s="45">
        <f>+M142+M147+M152+M157</f>
        <v>47</v>
      </c>
      <c r="N162" s="45">
        <f>+N142+N147+N152+N157</f>
        <v>72</v>
      </c>
      <c r="O162" s="486">
        <f t="shared" si="6"/>
        <v>0.65277777777777779</v>
      </c>
    </row>
    <row r="163" spans="1:15" ht="36.75" customHeight="1" x14ac:dyDescent="0.3">
      <c r="B163" s="29"/>
      <c r="C163" s="30"/>
      <c r="D163" s="344"/>
      <c r="G163" s="859"/>
      <c r="H163" s="933"/>
      <c r="I163" s="45" t="s">
        <v>215</v>
      </c>
      <c r="J163" s="167">
        <f>J143+J148+J153</f>
        <v>32</v>
      </c>
      <c r="K163" s="167">
        <f>K143+K148+K153</f>
        <v>38</v>
      </c>
      <c r="L163" s="480">
        <f t="shared" si="5"/>
        <v>0.84210526315789469</v>
      </c>
      <c r="M163" s="45">
        <f>+M143+M148+M153+M158</f>
        <v>42</v>
      </c>
      <c r="N163" s="45">
        <f>+N143+N148+N153+N158</f>
        <v>47</v>
      </c>
      <c r="O163" s="486">
        <f t="shared" si="6"/>
        <v>0.8936170212765957</v>
      </c>
    </row>
    <row r="164" spans="1:15" ht="36.75" customHeight="1" x14ac:dyDescent="0.3">
      <c r="B164" s="29"/>
      <c r="C164" s="30"/>
      <c r="D164" s="344"/>
      <c r="G164" s="859"/>
      <c r="H164" s="933"/>
      <c r="I164" s="35" t="s">
        <v>81</v>
      </c>
      <c r="J164" s="168">
        <f>SUM(J160:J163)</f>
        <v>94</v>
      </c>
      <c r="K164" s="168">
        <f>SUM(K160:K163)</f>
        <v>139</v>
      </c>
      <c r="L164" s="483">
        <f t="shared" si="5"/>
        <v>0.67625899280575541</v>
      </c>
      <c r="M164" s="35">
        <f>SUM(M160:M163)</f>
        <v>145</v>
      </c>
      <c r="N164" s="35">
        <f>SUM(N160:N163)</f>
        <v>200</v>
      </c>
      <c r="O164" s="532">
        <f t="shared" si="6"/>
        <v>0.72499999999999998</v>
      </c>
    </row>
    <row r="165" spans="1:15" ht="36.75" customHeight="1" x14ac:dyDescent="0.3">
      <c r="B165" s="29"/>
      <c r="C165" s="30"/>
      <c r="D165" s="344"/>
      <c r="G165" s="219"/>
      <c r="H165" s="220"/>
      <c r="I165" s="221"/>
      <c r="J165" s="222"/>
      <c r="K165" s="222"/>
      <c r="L165" s="223"/>
      <c r="M165" s="554"/>
      <c r="N165" s="554"/>
      <c r="O165" s="554"/>
    </row>
    <row r="166" spans="1:15" ht="46.5" customHeight="1" x14ac:dyDescent="0.25">
      <c r="A166" s="885" t="str">
        <f>+D14</f>
        <v>Porcentaje de autorizaciones ambientales con seguimiento en función de cantidad de autorizaciones</v>
      </c>
      <c r="B166" s="885"/>
      <c r="C166" s="885"/>
      <c r="D166" s="885"/>
      <c r="E166" s="885"/>
      <c r="F166" s="885"/>
      <c r="G166" s="885"/>
      <c r="H166" s="885"/>
      <c r="I166" s="885"/>
      <c r="J166" s="885"/>
      <c r="K166" s="885"/>
      <c r="L166" s="885"/>
      <c r="M166" s="885"/>
      <c r="N166" s="885"/>
      <c r="O166" s="885"/>
    </row>
    <row r="168" spans="1:15" ht="39.75" customHeight="1" x14ac:dyDescent="0.25">
      <c r="A168" s="931" t="s">
        <v>958</v>
      </c>
      <c r="B168" s="931"/>
      <c r="C168" s="931"/>
      <c r="D168" s="931"/>
      <c r="E168" s="931"/>
      <c r="F168" s="931"/>
      <c r="G168" s="345">
        <v>2016</v>
      </c>
      <c r="H168" s="345">
        <v>2017</v>
      </c>
      <c r="I168" s="345">
        <v>2018</v>
      </c>
      <c r="J168" s="345">
        <v>2019</v>
      </c>
      <c r="K168" s="345" t="s">
        <v>959</v>
      </c>
    </row>
    <row r="169" spans="1:15" ht="45" customHeight="1" x14ac:dyDescent="0.25">
      <c r="A169" s="920" t="s">
        <v>960</v>
      </c>
      <c r="B169" s="920"/>
      <c r="C169" s="920"/>
      <c r="D169" s="920"/>
      <c r="E169" s="920"/>
      <c r="F169" s="920"/>
      <c r="G169" s="346">
        <f>+H182</f>
        <v>0.78125</v>
      </c>
      <c r="H169" s="346">
        <f>+I182</f>
        <v>0.59259259259259256</v>
      </c>
      <c r="I169" s="346" t="e">
        <f>+J182</f>
        <v>#DIV/0!</v>
      </c>
      <c r="J169" s="346" t="e">
        <f>+K182</f>
        <v>#DIV/0!</v>
      </c>
      <c r="K169" s="346" t="e">
        <f>+L182</f>
        <v>#DIV/0!</v>
      </c>
    </row>
    <row r="170" spans="1:15" ht="45" customHeight="1" x14ac:dyDescent="0.25">
      <c r="A170" s="920" t="s">
        <v>961</v>
      </c>
      <c r="B170" s="920"/>
      <c r="C170" s="920"/>
      <c r="D170" s="920"/>
      <c r="E170" s="920"/>
      <c r="F170" s="920"/>
      <c r="G170" s="346">
        <f>+H185</f>
        <v>0.80088495575221241</v>
      </c>
      <c r="H170" s="346">
        <f>+I185</f>
        <v>0.83490566037735847</v>
      </c>
      <c r="I170" s="346" t="e">
        <f>+J185</f>
        <v>#DIV/0!</v>
      </c>
      <c r="J170" s="346" t="e">
        <f>+K185</f>
        <v>#DIV/0!</v>
      </c>
      <c r="K170" s="346" t="e">
        <f>+L185</f>
        <v>#DIV/0!</v>
      </c>
    </row>
    <row r="171" spans="1:15" ht="45" customHeight="1" x14ac:dyDescent="0.25">
      <c r="A171" s="920" t="s">
        <v>962</v>
      </c>
      <c r="B171" s="920"/>
      <c r="C171" s="920"/>
      <c r="D171" s="920"/>
      <c r="E171" s="920"/>
      <c r="F171" s="920"/>
      <c r="G171" s="346">
        <f>+H188</f>
        <v>0.66</v>
      </c>
      <c r="H171" s="346">
        <f>+I188</f>
        <v>0.93333333333333335</v>
      </c>
      <c r="I171" s="346" t="e">
        <f>+J188</f>
        <v>#DIV/0!</v>
      </c>
      <c r="J171" s="346" t="e">
        <f>+K188</f>
        <v>#DIV/0!</v>
      </c>
      <c r="K171" s="346" t="e">
        <f>+L188</f>
        <v>#DIV/0!</v>
      </c>
    </row>
    <row r="172" spans="1:15" ht="45" customHeight="1" x14ac:dyDescent="0.25">
      <c r="A172" s="920" t="s">
        <v>963</v>
      </c>
      <c r="B172" s="920"/>
      <c r="C172" s="920"/>
      <c r="D172" s="920"/>
      <c r="E172" s="920"/>
      <c r="F172" s="920"/>
      <c r="G172" s="346">
        <f>+H191</f>
        <v>1.0135135135135136</v>
      </c>
      <c r="H172" s="346">
        <f>+I191</f>
        <v>0.83333333333333337</v>
      </c>
      <c r="I172" s="346" t="e">
        <f>+J191</f>
        <v>#DIV/0!</v>
      </c>
      <c r="J172" s="346" t="e">
        <f>+K191</f>
        <v>#DIV/0!</v>
      </c>
      <c r="K172" s="346" t="e">
        <f>+L191</f>
        <v>#DIV/0!</v>
      </c>
    </row>
    <row r="173" spans="1:15" ht="45" customHeight="1" x14ac:dyDescent="0.25">
      <c r="A173" s="920" t="s">
        <v>964</v>
      </c>
      <c r="B173" s="920"/>
      <c r="C173" s="920"/>
      <c r="D173" s="920"/>
      <c r="E173" s="920"/>
      <c r="F173" s="920"/>
      <c r="G173" s="346">
        <f>+H194</f>
        <v>1</v>
      </c>
      <c r="H173" s="346">
        <f>+I194</f>
        <v>0.66666666666666663</v>
      </c>
      <c r="I173" s="346" t="e">
        <f>+J194</f>
        <v>#DIV/0!</v>
      </c>
      <c r="J173" s="346" t="e">
        <f>+K194</f>
        <v>#DIV/0!</v>
      </c>
      <c r="K173" s="346" t="e">
        <f>+L194</f>
        <v>#DIV/0!</v>
      </c>
    </row>
    <row r="174" spans="1:15" ht="45" customHeight="1" x14ac:dyDescent="0.25">
      <c r="A174" s="921" t="s">
        <v>965</v>
      </c>
      <c r="B174" s="922"/>
      <c r="C174" s="922"/>
      <c r="D174" s="922"/>
      <c r="E174" s="922"/>
      <c r="F174" s="923"/>
      <c r="G174" s="346">
        <f>+H197</f>
        <v>0.82291666666666663</v>
      </c>
      <c r="H174" s="346">
        <f>+I197</f>
        <v>0.83993660855784469</v>
      </c>
      <c r="I174" s="346"/>
      <c r="J174" s="346"/>
      <c r="K174" s="346"/>
    </row>
    <row r="175" spans="1:15" ht="47.25" customHeight="1" x14ac:dyDescent="0.25">
      <c r="A175" s="920" t="s">
        <v>966</v>
      </c>
      <c r="B175" s="920"/>
      <c r="C175" s="920"/>
      <c r="D175" s="920"/>
      <c r="E175" s="920"/>
      <c r="F175" s="920"/>
      <c r="G175" s="346">
        <v>0.8</v>
      </c>
      <c r="H175" s="346">
        <v>0.8</v>
      </c>
      <c r="I175" s="346">
        <v>0.8</v>
      </c>
      <c r="J175" s="346">
        <v>0.8</v>
      </c>
      <c r="K175" s="346">
        <v>0.8</v>
      </c>
    </row>
    <row r="176" spans="1:15" x14ac:dyDescent="0.25">
      <c r="A176" s="5"/>
    </row>
    <row r="177" spans="1:17" ht="32.25" customHeight="1" x14ac:dyDescent="0.25">
      <c r="A177" s="904" t="s">
        <v>958</v>
      </c>
      <c r="B177" s="905"/>
      <c r="C177" s="905"/>
      <c r="D177" s="905"/>
      <c r="E177" s="905"/>
      <c r="F177" s="905"/>
      <c r="G177" s="905"/>
      <c r="H177" s="905"/>
      <c r="I177" s="905"/>
      <c r="J177" s="905"/>
      <c r="K177" s="905"/>
      <c r="L177" s="905"/>
    </row>
    <row r="178" spans="1:17" s="351" customFormat="1" ht="17.5" x14ac:dyDescent="0.35">
      <c r="A178" s="924" t="s">
        <v>919</v>
      </c>
      <c r="B178" s="347"/>
      <c r="C178" s="347" t="s">
        <v>967</v>
      </c>
      <c r="D178" s="348" t="s">
        <v>968</v>
      </c>
      <c r="E178" s="347" t="s">
        <v>969</v>
      </c>
      <c r="F178" s="347" t="s">
        <v>970</v>
      </c>
      <c r="G178" s="349" t="s">
        <v>920</v>
      </c>
      <c r="H178" s="350" t="s">
        <v>921</v>
      </c>
      <c r="I178" s="350" t="s">
        <v>922</v>
      </c>
      <c r="J178" s="350" t="s">
        <v>923</v>
      </c>
      <c r="K178" s="350" t="s">
        <v>924</v>
      </c>
      <c r="L178" s="350" t="s">
        <v>959</v>
      </c>
      <c r="O178" s="300"/>
      <c r="P178" s="300"/>
      <c r="Q178" s="300"/>
    </row>
    <row r="179" spans="1:17" s="351" customFormat="1" ht="41.25" customHeight="1" x14ac:dyDescent="0.35">
      <c r="A179" s="925"/>
      <c r="B179" s="347" t="s">
        <v>971</v>
      </c>
      <c r="C179" s="347" t="s">
        <v>972</v>
      </c>
      <c r="D179" s="380" t="s">
        <v>1171</v>
      </c>
      <c r="E179" s="347"/>
      <c r="F179" s="347"/>
      <c r="G179" s="352"/>
      <c r="H179" s="353" t="s">
        <v>1172</v>
      </c>
      <c r="I179" s="353" t="s">
        <v>1173</v>
      </c>
      <c r="J179" s="353" t="s">
        <v>926</v>
      </c>
      <c r="K179" s="353" t="s">
        <v>926</v>
      </c>
      <c r="L179" s="347"/>
      <c r="O179" s="300"/>
      <c r="P179" s="300"/>
      <c r="Q179" s="300"/>
    </row>
    <row r="180" spans="1:17" ht="45" customHeight="1" x14ac:dyDescent="0.25">
      <c r="A180" s="895" t="s">
        <v>973</v>
      </c>
      <c r="B180" s="566" t="s">
        <v>974</v>
      </c>
      <c r="C180" s="533">
        <v>36</v>
      </c>
      <c r="D180" s="568">
        <v>34</v>
      </c>
      <c r="E180" s="331"/>
      <c r="F180" s="331"/>
      <c r="G180" s="559" t="s">
        <v>975</v>
      </c>
      <c r="H180" s="535">
        <v>32</v>
      </c>
      <c r="I180" s="536">
        <f>+D181</f>
        <v>27</v>
      </c>
      <c r="J180" s="311"/>
      <c r="K180" s="320"/>
      <c r="L180" s="331"/>
      <c r="O180" s="356"/>
      <c r="P180" s="356"/>
      <c r="Q180" s="356"/>
    </row>
    <row r="181" spans="1:17" ht="24" customHeight="1" x14ac:dyDescent="0.25">
      <c r="A181" s="895"/>
      <c r="B181" s="926" t="s">
        <v>976</v>
      </c>
      <c r="C181" s="1089">
        <v>36</v>
      </c>
      <c r="D181" s="1091">
        <f>INT(+D180*0.8)</f>
        <v>27</v>
      </c>
      <c r="E181" s="914"/>
      <c r="F181" s="914"/>
      <c r="G181" s="559" t="s">
        <v>977</v>
      </c>
      <c r="H181" s="535">
        <v>25</v>
      </c>
      <c r="I181" s="536">
        <v>16</v>
      </c>
      <c r="J181" s="311"/>
      <c r="K181" s="320"/>
      <c r="L181" s="331"/>
      <c r="O181" s="357"/>
      <c r="P181" s="357"/>
      <c r="Q181" s="357"/>
    </row>
    <row r="182" spans="1:17" ht="41.25" customHeight="1" x14ac:dyDescent="0.25">
      <c r="A182" s="895"/>
      <c r="B182" s="926"/>
      <c r="C182" s="1090"/>
      <c r="D182" s="1092"/>
      <c r="E182" s="915"/>
      <c r="F182" s="915"/>
      <c r="G182" s="358" t="s">
        <v>978</v>
      </c>
      <c r="H182" s="537">
        <f>+H181/H180</f>
        <v>0.78125</v>
      </c>
      <c r="I182" s="538">
        <f>+I181/I180</f>
        <v>0.59259259259259256</v>
      </c>
      <c r="J182" s="359" t="e">
        <f>+J181/J180</f>
        <v>#DIV/0!</v>
      </c>
      <c r="K182" s="359" t="e">
        <f>+K181/K180</f>
        <v>#DIV/0!</v>
      </c>
      <c r="L182" s="359" t="e">
        <f>+L181/L180</f>
        <v>#DIV/0!</v>
      </c>
      <c r="O182" s="357"/>
      <c r="P182" s="357"/>
      <c r="Q182" s="357"/>
    </row>
    <row r="183" spans="1:17" ht="35.25" customHeight="1" x14ac:dyDescent="0.25">
      <c r="A183" s="895" t="s">
        <v>979</v>
      </c>
      <c r="B183" s="559" t="s">
        <v>980</v>
      </c>
      <c r="C183" s="568">
        <v>512</v>
      </c>
      <c r="D183" s="568">
        <v>455</v>
      </c>
      <c r="E183" s="331"/>
      <c r="F183" s="331"/>
      <c r="G183" s="559" t="s">
        <v>981</v>
      </c>
      <c r="H183" s="535">
        <f>INT(0.8*C184/2)</f>
        <v>226</v>
      </c>
      <c r="I183" s="539">
        <f>+D184</f>
        <v>424</v>
      </c>
      <c r="J183" s="361"/>
      <c r="K183" s="361"/>
      <c r="L183" s="331"/>
      <c r="O183" s="357"/>
      <c r="P183" s="357"/>
      <c r="Q183" s="357"/>
    </row>
    <row r="184" spans="1:17" ht="35.25" customHeight="1" x14ac:dyDescent="0.25">
      <c r="A184" s="895"/>
      <c r="B184" s="559" t="s">
        <v>982</v>
      </c>
      <c r="C184" s="568">
        <v>566</v>
      </c>
      <c r="D184" s="568">
        <v>424</v>
      </c>
      <c r="E184" s="331"/>
      <c r="F184" s="331"/>
      <c r="G184" s="559" t="s">
        <v>983</v>
      </c>
      <c r="H184" s="535">
        <v>181</v>
      </c>
      <c r="I184" s="539">
        <v>354</v>
      </c>
      <c r="J184" s="331"/>
      <c r="K184" s="331"/>
      <c r="L184" s="331"/>
      <c r="O184" s="357"/>
      <c r="P184" s="357"/>
      <c r="Q184" s="357"/>
    </row>
    <row r="185" spans="1:17" ht="30" customHeight="1" x14ac:dyDescent="0.25">
      <c r="A185" s="895"/>
      <c r="B185" s="559" t="s">
        <v>984</v>
      </c>
      <c r="C185" s="568">
        <v>596</v>
      </c>
      <c r="D185" s="568">
        <v>516</v>
      </c>
      <c r="E185" s="331"/>
      <c r="F185" s="331"/>
      <c r="G185" s="358" t="s">
        <v>961</v>
      </c>
      <c r="H185" s="540">
        <f>+H184/H183</f>
        <v>0.80088495575221241</v>
      </c>
      <c r="I185" s="541">
        <f>+I184/I183</f>
        <v>0.83490566037735847</v>
      </c>
      <c r="J185" s="364" t="e">
        <f>+J184/J183</f>
        <v>#DIV/0!</v>
      </c>
      <c r="K185" s="364" t="e">
        <f>+K184/K183</f>
        <v>#DIV/0!</v>
      </c>
      <c r="L185" s="364" t="e">
        <f>+L184/L183</f>
        <v>#DIV/0!</v>
      </c>
      <c r="O185" s="357"/>
      <c r="P185" s="357"/>
      <c r="Q185" s="357"/>
    </row>
    <row r="186" spans="1:17" ht="36" x14ac:dyDescent="0.25">
      <c r="A186" s="895" t="s">
        <v>985</v>
      </c>
      <c r="B186" s="559" t="s">
        <v>986</v>
      </c>
      <c r="C186" s="568">
        <v>512</v>
      </c>
      <c r="D186" s="568">
        <v>512</v>
      </c>
      <c r="E186" s="331"/>
      <c r="F186" s="331"/>
      <c r="G186" s="559" t="s">
        <v>987</v>
      </c>
      <c r="H186" s="362">
        <f>INT(0.8*C187)</f>
        <v>50</v>
      </c>
      <c r="I186" s="542">
        <f>+D187</f>
        <v>105</v>
      </c>
      <c r="J186" s="331"/>
      <c r="K186" s="331"/>
      <c r="L186" s="331"/>
      <c r="O186" s="357"/>
      <c r="P186" s="357"/>
      <c r="Q186" s="357"/>
    </row>
    <row r="187" spans="1:17" ht="36" x14ac:dyDescent="0.25">
      <c r="A187" s="895"/>
      <c r="B187" s="559" t="s">
        <v>988</v>
      </c>
      <c r="C187" s="568">
        <v>63</v>
      </c>
      <c r="D187" s="568">
        <v>105</v>
      </c>
      <c r="E187" s="331"/>
      <c r="F187" s="331"/>
      <c r="G187" s="559" t="s">
        <v>989</v>
      </c>
      <c r="H187" s="362">
        <v>33</v>
      </c>
      <c r="I187" s="542">
        <v>98</v>
      </c>
      <c r="J187" s="331"/>
      <c r="K187" s="331"/>
      <c r="L187" s="331"/>
      <c r="O187" s="357"/>
      <c r="P187" s="357"/>
      <c r="Q187" s="357"/>
    </row>
    <row r="188" spans="1:17" ht="36" x14ac:dyDescent="0.25">
      <c r="A188" s="895"/>
      <c r="B188" s="559" t="s">
        <v>990</v>
      </c>
      <c r="C188" s="568">
        <v>512</v>
      </c>
      <c r="D188" s="568">
        <v>105</v>
      </c>
      <c r="E188" s="331"/>
      <c r="F188" s="331"/>
      <c r="G188" s="358" t="s">
        <v>962</v>
      </c>
      <c r="H188" s="365">
        <f>+H187/H186</f>
        <v>0.66</v>
      </c>
      <c r="I188" s="543">
        <f>+I187/I186</f>
        <v>0.93333333333333335</v>
      </c>
      <c r="J188" s="366" t="e">
        <f>+J187/J186</f>
        <v>#DIV/0!</v>
      </c>
      <c r="K188" s="366" t="e">
        <f>+K187/K186</f>
        <v>#DIV/0!</v>
      </c>
      <c r="L188" s="366" t="e">
        <f>+L187/L186</f>
        <v>#DIV/0!</v>
      </c>
      <c r="O188" s="357"/>
      <c r="P188" s="357"/>
      <c r="Q188" s="357"/>
    </row>
    <row r="189" spans="1:17" ht="43.5" customHeight="1" x14ac:dyDescent="0.25">
      <c r="A189" s="895" t="s">
        <v>943</v>
      </c>
      <c r="B189" s="559" t="s">
        <v>991</v>
      </c>
      <c r="C189" s="568">
        <v>74</v>
      </c>
      <c r="D189" s="568">
        <v>90</v>
      </c>
      <c r="E189" s="331"/>
      <c r="F189" s="331"/>
      <c r="G189" s="559" t="s">
        <v>992</v>
      </c>
      <c r="H189" s="362">
        <v>74</v>
      </c>
      <c r="I189" s="542">
        <f>+D190</f>
        <v>72</v>
      </c>
      <c r="J189" s="331"/>
      <c r="K189" s="331"/>
      <c r="L189" s="331"/>
      <c r="O189" s="357"/>
      <c r="P189" s="357"/>
      <c r="Q189" s="357"/>
    </row>
    <row r="190" spans="1:17" ht="24" x14ac:dyDescent="0.25">
      <c r="A190" s="895"/>
      <c r="B190" s="896" t="s">
        <v>993</v>
      </c>
      <c r="C190" s="1087">
        <v>74</v>
      </c>
      <c r="D190" s="1087">
        <f>+D189*0.8</f>
        <v>72</v>
      </c>
      <c r="E190" s="914"/>
      <c r="F190" s="914"/>
      <c r="G190" s="559" t="s">
        <v>994</v>
      </c>
      <c r="H190" s="362">
        <v>75</v>
      </c>
      <c r="I190" s="542">
        <v>60</v>
      </c>
      <c r="J190" s="331"/>
      <c r="K190" s="331"/>
      <c r="L190" s="331"/>
      <c r="O190" s="357"/>
      <c r="P190" s="357"/>
      <c r="Q190" s="357"/>
    </row>
    <row r="191" spans="1:17" ht="24" x14ac:dyDescent="0.25">
      <c r="A191" s="895"/>
      <c r="B191" s="896"/>
      <c r="C191" s="1087"/>
      <c r="D191" s="1087"/>
      <c r="E191" s="915"/>
      <c r="F191" s="915"/>
      <c r="G191" s="367" t="s">
        <v>963</v>
      </c>
      <c r="H191" s="368">
        <f>+H190/H189</f>
        <v>1.0135135135135136</v>
      </c>
      <c r="I191" s="368">
        <f>+I190/I189</f>
        <v>0.83333333333333337</v>
      </c>
      <c r="J191" s="369" t="e">
        <f>+J190/J189</f>
        <v>#DIV/0!</v>
      </c>
      <c r="K191" s="369" t="e">
        <f>+K190/K189</f>
        <v>#DIV/0!</v>
      </c>
      <c r="L191" s="369" t="e">
        <f>+L190/L189</f>
        <v>#DIV/0!</v>
      </c>
      <c r="O191" s="357"/>
      <c r="P191" s="357"/>
      <c r="Q191" s="357"/>
    </row>
    <row r="192" spans="1:17" ht="48" x14ac:dyDescent="0.25">
      <c r="A192" s="895" t="s">
        <v>995</v>
      </c>
      <c r="B192" s="559" t="s">
        <v>996</v>
      </c>
      <c r="C192" s="568">
        <v>2</v>
      </c>
      <c r="D192" s="568">
        <v>4</v>
      </c>
      <c r="E192" s="331"/>
      <c r="F192" s="331"/>
      <c r="G192" s="559" t="s">
        <v>997</v>
      </c>
      <c r="H192" s="362">
        <v>2</v>
      </c>
      <c r="I192" s="542">
        <f>+D193</f>
        <v>3</v>
      </c>
      <c r="J192" s="331"/>
      <c r="K192" s="331"/>
      <c r="L192" s="331"/>
      <c r="O192" s="357"/>
      <c r="P192" s="357"/>
      <c r="Q192" s="357"/>
    </row>
    <row r="193" spans="1:17" ht="24" x14ac:dyDescent="0.25">
      <c r="A193" s="895"/>
      <c r="B193" s="896" t="s">
        <v>998</v>
      </c>
      <c r="C193" s="1087">
        <v>2</v>
      </c>
      <c r="D193" s="1087">
        <f>+INT(D192*0.8)</f>
        <v>3</v>
      </c>
      <c r="E193" s="914"/>
      <c r="F193" s="914"/>
      <c r="G193" s="559" t="s">
        <v>999</v>
      </c>
      <c r="H193" s="362">
        <v>2</v>
      </c>
      <c r="I193" s="542">
        <v>2</v>
      </c>
      <c r="J193" s="331"/>
      <c r="K193" s="331"/>
      <c r="L193" s="331"/>
      <c r="O193" s="28"/>
      <c r="P193" s="28"/>
      <c r="Q193" s="28"/>
    </row>
    <row r="194" spans="1:17" ht="24" x14ac:dyDescent="0.25">
      <c r="A194" s="895"/>
      <c r="B194" s="896"/>
      <c r="C194" s="1087"/>
      <c r="D194" s="1087"/>
      <c r="E194" s="915"/>
      <c r="F194" s="915"/>
      <c r="G194" s="358" t="s">
        <v>964</v>
      </c>
      <c r="H194" s="368">
        <f>+H193/H192</f>
        <v>1</v>
      </c>
      <c r="I194" s="368">
        <f>+I193/I192</f>
        <v>0.66666666666666663</v>
      </c>
      <c r="J194" s="366" t="e">
        <f>+J193/J192</f>
        <v>#DIV/0!</v>
      </c>
      <c r="K194" s="366" t="e">
        <f>+K193/K192</f>
        <v>#DIV/0!</v>
      </c>
      <c r="L194" s="366" t="e">
        <f>+L193/L192</f>
        <v>#DIV/0!</v>
      </c>
    </row>
    <row r="195" spans="1:17" x14ac:dyDescent="0.25">
      <c r="A195" s="918" t="s">
        <v>1000</v>
      </c>
      <c r="B195" s="918"/>
      <c r="C195" s="918"/>
      <c r="D195" s="918"/>
      <c r="E195" s="918"/>
      <c r="F195" s="918"/>
      <c r="G195" s="569" t="s">
        <v>1001</v>
      </c>
      <c r="H195" s="564">
        <f>+H180+H183+H186+H189+H192</f>
        <v>384</v>
      </c>
      <c r="I195" s="564">
        <f>+I180+I183+I186+I189+I192</f>
        <v>631</v>
      </c>
      <c r="J195" s="371"/>
      <c r="K195" s="371"/>
      <c r="L195" s="371"/>
    </row>
    <row r="196" spans="1:17" x14ac:dyDescent="0.25">
      <c r="A196" s="919"/>
      <c r="B196" s="919"/>
      <c r="C196" s="919"/>
      <c r="D196" s="919"/>
      <c r="E196" s="919"/>
      <c r="F196" s="919"/>
      <c r="G196" s="569" t="s">
        <v>1002</v>
      </c>
      <c r="H196" s="564">
        <f>+H181+H184+H187+H190+H193</f>
        <v>316</v>
      </c>
      <c r="I196" s="564">
        <f>+I181+I184+I187+I190+I193</f>
        <v>530</v>
      </c>
      <c r="J196" s="371"/>
      <c r="K196" s="371"/>
      <c r="L196" s="371"/>
    </row>
    <row r="197" spans="1:17" x14ac:dyDescent="0.25">
      <c r="A197" s="919"/>
      <c r="B197" s="919"/>
      <c r="C197" s="919"/>
      <c r="D197" s="919"/>
      <c r="E197" s="919"/>
      <c r="F197" s="919"/>
      <c r="G197" s="372" t="s">
        <v>1003</v>
      </c>
      <c r="H197" s="373">
        <f>+H196/H195</f>
        <v>0.82291666666666663</v>
      </c>
      <c r="I197" s="544">
        <f>+I196/I195</f>
        <v>0.83993660855784469</v>
      </c>
      <c r="J197" s="374"/>
      <c r="K197" s="374"/>
      <c r="L197" s="374"/>
    </row>
    <row r="198" spans="1:17" x14ac:dyDescent="0.25">
      <c r="A198" s="375"/>
      <c r="B198" s="376"/>
      <c r="C198" s="217"/>
      <c r="D198" s="340"/>
      <c r="E198" s="217"/>
      <c r="F198" s="217"/>
      <c r="G198" s="376"/>
      <c r="H198" s="28"/>
      <c r="I198" s="28"/>
      <c r="J198" s="28"/>
      <c r="K198" s="28"/>
      <c r="L198" s="28"/>
    </row>
    <row r="199" spans="1:17" ht="34.5" customHeight="1" x14ac:dyDescent="0.25">
      <c r="A199" s="1088" t="s">
        <v>1004</v>
      </c>
      <c r="B199" s="1088"/>
      <c r="C199" s="1088"/>
      <c r="D199" s="1088"/>
      <c r="E199" s="377">
        <v>2016</v>
      </c>
      <c r="F199" s="377">
        <v>2017</v>
      </c>
      <c r="G199" s="377">
        <v>2018</v>
      </c>
      <c r="H199" s="377">
        <v>2019</v>
      </c>
      <c r="I199" s="377" t="s">
        <v>959</v>
      </c>
      <c r="L199" s="28"/>
    </row>
    <row r="200" spans="1:17" ht="34.5" customHeight="1" x14ac:dyDescent="0.25">
      <c r="A200" s="910" t="s">
        <v>960</v>
      </c>
      <c r="B200" s="911"/>
      <c r="C200" s="911"/>
      <c r="D200" s="420"/>
      <c r="E200" s="378">
        <f>+H214</f>
        <v>0.78125</v>
      </c>
      <c r="F200" s="378">
        <f>+I214</f>
        <v>0.59259259259259256</v>
      </c>
      <c r="G200" s="378" t="e">
        <f>+J214</f>
        <v>#DIV/0!</v>
      </c>
      <c r="H200" s="378" t="e">
        <f>+K214</f>
        <v>#DIV/0!</v>
      </c>
      <c r="I200" s="378" t="e">
        <f>+L214</f>
        <v>#DIV/0!</v>
      </c>
      <c r="J200" s="28"/>
    </row>
    <row r="201" spans="1:17" ht="34.5" customHeight="1" x14ac:dyDescent="0.25">
      <c r="A201" s="910" t="s">
        <v>961</v>
      </c>
      <c r="B201" s="911"/>
      <c r="C201" s="911"/>
      <c r="D201" s="419"/>
      <c r="E201" s="378">
        <f>+H217</f>
        <v>0.85940185630800958</v>
      </c>
      <c r="F201" s="378">
        <f>+I217</f>
        <v>1</v>
      </c>
      <c r="G201" s="378" t="e">
        <f>+J217</f>
        <v>#DIV/0!</v>
      </c>
      <c r="H201" s="378" t="e">
        <f>+K217</f>
        <v>#DIV/0!</v>
      </c>
      <c r="I201" s="378" t="e">
        <f>+L217</f>
        <v>#DIV/0!</v>
      </c>
      <c r="J201" s="28"/>
    </row>
    <row r="202" spans="1:17" ht="34.5" customHeight="1" x14ac:dyDescent="0.25">
      <c r="A202" s="910" t="s">
        <v>962</v>
      </c>
      <c r="B202" s="911"/>
      <c r="C202" s="911"/>
      <c r="D202" s="419"/>
      <c r="E202" s="378">
        <f>+H220</f>
        <v>0.39704271631982474</v>
      </c>
      <c r="F202" s="378">
        <f>+I220</f>
        <v>0.79575596816976135</v>
      </c>
      <c r="G202" s="378" t="e">
        <f>+J220</f>
        <v>#DIV/0!</v>
      </c>
      <c r="H202" s="378" t="e">
        <f>+K220</f>
        <v>#DIV/0!</v>
      </c>
      <c r="I202" s="378" t="e">
        <f>+L220</f>
        <v>#DIV/0!</v>
      </c>
      <c r="J202" s="28"/>
    </row>
    <row r="203" spans="1:17" ht="34.5" customHeight="1" x14ac:dyDescent="0.25">
      <c r="A203" s="910" t="s">
        <v>963</v>
      </c>
      <c r="B203" s="911"/>
      <c r="C203" s="911"/>
      <c r="D203" s="419"/>
      <c r="E203" s="378">
        <f>+H223</f>
        <v>0.77530957174688708</v>
      </c>
      <c r="F203" s="378">
        <f>+I223</f>
        <v>0.95946408862903887</v>
      </c>
      <c r="G203" s="378" t="e">
        <f>+J223</f>
        <v>#DIV/0!</v>
      </c>
      <c r="H203" s="378">
        <f>+K221</f>
        <v>0</v>
      </c>
      <c r="I203" s="378" t="e">
        <f>+L223</f>
        <v>#DIV/0!</v>
      </c>
      <c r="J203" s="28"/>
    </row>
    <row r="204" spans="1:17" ht="34.5" customHeight="1" x14ac:dyDescent="0.25">
      <c r="A204" s="910" t="s">
        <v>964</v>
      </c>
      <c r="B204" s="911"/>
      <c r="C204" s="911"/>
      <c r="D204" s="419"/>
      <c r="E204" s="378">
        <f>+H226</f>
        <v>1</v>
      </c>
      <c r="F204" s="378">
        <f>+I226</f>
        <v>0.66666666666666663</v>
      </c>
      <c r="G204" s="378" t="e">
        <f>+J226</f>
        <v>#DIV/0!</v>
      </c>
      <c r="H204" s="378">
        <f>+K222</f>
        <v>0</v>
      </c>
      <c r="I204" s="378" t="e">
        <f>+L226</f>
        <v>#DIV/0!</v>
      </c>
      <c r="J204" s="28"/>
    </row>
    <row r="205" spans="1:17" ht="34.5" customHeight="1" x14ac:dyDescent="0.25">
      <c r="A205" s="910" t="s">
        <v>1005</v>
      </c>
      <c r="B205" s="911"/>
      <c r="C205" s="911"/>
      <c r="D205" s="421"/>
      <c r="E205" s="378">
        <f>+H229</f>
        <v>0.76260082887494429</v>
      </c>
      <c r="F205" s="378">
        <f>+I229</f>
        <v>0.80289586321161188</v>
      </c>
      <c r="G205" s="378"/>
      <c r="H205" s="378"/>
      <c r="I205" s="378"/>
      <c r="J205" s="28"/>
    </row>
    <row r="206" spans="1:17" ht="22.5" customHeight="1" x14ac:dyDescent="0.25">
      <c r="A206" s="910" t="s">
        <v>966</v>
      </c>
      <c r="B206" s="911"/>
      <c r="C206" s="911"/>
      <c r="D206" s="419"/>
      <c r="E206" s="378">
        <v>0.8</v>
      </c>
      <c r="F206" s="378">
        <v>0.8</v>
      </c>
      <c r="G206" s="378">
        <v>0.8</v>
      </c>
      <c r="H206" s="378">
        <v>0.8</v>
      </c>
      <c r="I206" s="378">
        <v>0.8</v>
      </c>
      <c r="J206" s="28"/>
    </row>
    <row r="207" spans="1:17" x14ac:dyDescent="0.25">
      <c r="A207" s="375"/>
      <c r="B207" s="376"/>
      <c r="C207" s="217"/>
      <c r="D207" s="340"/>
      <c r="E207" s="217"/>
      <c r="F207" s="217"/>
      <c r="G207" s="376"/>
      <c r="H207" s="28"/>
      <c r="I207" s="28"/>
      <c r="J207" s="28"/>
      <c r="K207" s="28"/>
      <c r="L207" s="28"/>
    </row>
    <row r="208" spans="1:17" ht="56.25" customHeight="1" x14ac:dyDescent="0.25">
      <c r="A208" s="375"/>
      <c r="B208" s="376"/>
      <c r="C208" s="28"/>
      <c r="D208" s="340"/>
      <c r="E208" s="28"/>
      <c r="F208" s="28"/>
    </row>
    <row r="209" spans="1:12" ht="31.5" customHeight="1" x14ac:dyDescent="0.25">
      <c r="A209" s="904" t="s">
        <v>1004</v>
      </c>
      <c r="B209" s="905"/>
      <c r="C209" s="905"/>
      <c r="D209" s="905"/>
      <c r="E209" s="905"/>
      <c r="F209" s="905"/>
      <c r="G209" s="905"/>
      <c r="H209" s="905"/>
      <c r="I209" s="905"/>
      <c r="J209" s="905"/>
      <c r="K209" s="905"/>
      <c r="L209" s="905"/>
    </row>
    <row r="210" spans="1:12" ht="56.25" customHeight="1" x14ac:dyDescent="0.25">
      <c r="A210" s="906" t="s">
        <v>919</v>
      </c>
      <c r="B210" s="379"/>
      <c r="C210" s="379" t="s">
        <v>967</v>
      </c>
      <c r="D210" s="380" t="s">
        <v>968</v>
      </c>
      <c r="E210" s="379" t="s">
        <v>969</v>
      </c>
      <c r="F210" s="379" t="s">
        <v>970</v>
      </c>
      <c r="G210" s="310" t="s">
        <v>920</v>
      </c>
      <c r="H210" s="381" t="s">
        <v>921</v>
      </c>
      <c r="I210" s="350" t="s">
        <v>922</v>
      </c>
      <c r="J210" s="350" t="s">
        <v>923</v>
      </c>
      <c r="K210" s="350" t="s">
        <v>924</v>
      </c>
      <c r="L210" s="350" t="s">
        <v>959</v>
      </c>
    </row>
    <row r="211" spans="1:12" ht="27" customHeight="1" x14ac:dyDescent="0.25">
      <c r="A211" s="907"/>
      <c r="B211" s="379" t="s">
        <v>971</v>
      </c>
      <c r="C211" s="379" t="s">
        <v>972</v>
      </c>
      <c r="D211" s="380" t="s">
        <v>1174</v>
      </c>
      <c r="E211" s="379"/>
      <c r="F211" s="379"/>
      <c r="G211" s="310"/>
      <c r="H211" s="382" t="s">
        <v>926</v>
      </c>
      <c r="I211" s="353" t="s">
        <v>926</v>
      </c>
      <c r="J211" s="383" t="s">
        <v>926</v>
      </c>
      <c r="K211" s="383" t="s">
        <v>926</v>
      </c>
      <c r="L211" s="331"/>
    </row>
    <row r="212" spans="1:12" ht="48" x14ac:dyDescent="0.25">
      <c r="A212" s="899" t="s">
        <v>973</v>
      </c>
      <c r="B212" s="562" t="s">
        <v>1006</v>
      </c>
      <c r="C212" s="563">
        <v>32</v>
      </c>
      <c r="D212" s="561">
        <v>34</v>
      </c>
      <c r="E212" s="384"/>
      <c r="F212" s="384"/>
      <c r="G212" s="559" t="s">
        <v>975</v>
      </c>
      <c r="H212" s="535">
        <v>32</v>
      </c>
      <c r="I212" s="545">
        <f>+D213</f>
        <v>27</v>
      </c>
      <c r="J212" s="311"/>
      <c r="K212" s="320"/>
      <c r="L212" s="331"/>
    </row>
    <row r="213" spans="1:12" x14ac:dyDescent="0.25">
      <c r="A213" s="899"/>
      <c r="B213" s="908" t="s">
        <v>976</v>
      </c>
      <c r="C213" s="909">
        <v>32</v>
      </c>
      <c r="D213" s="898">
        <f>+INT(D212*0.8)</f>
        <v>27</v>
      </c>
      <c r="E213" s="897"/>
      <c r="F213" s="897"/>
      <c r="G213" s="559" t="s">
        <v>977</v>
      </c>
      <c r="H213" s="535">
        <v>25</v>
      </c>
      <c r="I213" s="545">
        <v>16</v>
      </c>
      <c r="J213" s="311"/>
      <c r="K213" s="320"/>
      <c r="L213" s="331"/>
    </row>
    <row r="214" spans="1:12" ht="24" x14ac:dyDescent="0.25">
      <c r="A214" s="899"/>
      <c r="B214" s="908"/>
      <c r="C214" s="909"/>
      <c r="D214" s="898"/>
      <c r="E214" s="897"/>
      <c r="F214" s="897"/>
      <c r="G214" s="367" t="s">
        <v>978</v>
      </c>
      <c r="H214" s="538">
        <f>+H213/H212</f>
        <v>0.78125</v>
      </c>
      <c r="I214" s="538">
        <f>+I213/I212</f>
        <v>0.59259259259259256</v>
      </c>
      <c r="J214" s="386" t="e">
        <f>+J213/J212</f>
        <v>#DIV/0!</v>
      </c>
      <c r="K214" s="386" t="e">
        <f>+K213/K212</f>
        <v>#DIV/0!</v>
      </c>
      <c r="L214" s="386" t="e">
        <f>+L213/L212</f>
        <v>#DIV/0!</v>
      </c>
    </row>
    <row r="215" spans="1:12" ht="26.25" customHeight="1" x14ac:dyDescent="0.25">
      <c r="A215" s="899" t="s">
        <v>979</v>
      </c>
      <c r="B215" s="567" t="s">
        <v>980</v>
      </c>
      <c r="C215" s="560">
        <v>512</v>
      </c>
      <c r="D215" s="561">
        <v>512</v>
      </c>
      <c r="E215" s="384"/>
      <c r="F215" s="384"/>
      <c r="G215" s="559" t="s">
        <v>1007</v>
      </c>
      <c r="H215" s="388">
        <f>0.8*C216/2</f>
        <v>34.908000000000001</v>
      </c>
      <c r="I215" s="546">
        <f>+D216</f>
        <v>72</v>
      </c>
      <c r="J215" s="311"/>
      <c r="K215" s="311"/>
      <c r="L215" s="331"/>
    </row>
    <row r="216" spans="1:12" ht="36" x14ac:dyDescent="0.25">
      <c r="A216" s="899"/>
      <c r="B216" s="567" t="s">
        <v>1008</v>
      </c>
      <c r="C216" s="560">
        <v>87.27</v>
      </c>
      <c r="D216" s="561">
        <v>72</v>
      </c>
      <c r="E216" s="384"/>
      <c r="F216" s="384"/>
      <c r="G216" s="559" t="s">
        <v>1009</v>
      </c>
      <c r="H216" s="362">
        <v>30</v>
      </c>
      <c r="I216" s="362">
        <v>72</v>
      </c>
      <c r="J216" s="331"/>
      <c r="K216" s="331"/>
      <c r="L216" s="331"/>
    </row>
    <row r="217" spans="1:12" ht="36" x14ac:dyDescent="0.25">
      <c r="A217" s="899"/>
      <c r="B217" s="567" t="s">
        <v>1010</v>
      </c>
      <c r="C217" s="560">
        <v>596</v>
      </c>
      <c r="D217" s="561">
        <v>516</v>
      </c>
      <c r="E217" s="384"/>
      <c r="F217" s="384"/>
      <c r="G217" s="367" t="s">
        <v>1011</v>
      </c>
      <c r="H217" s="389">
        <f>+H216/H215</f>
        <v>0.85940185630800958</v>
      </c>
      <c r="I217" s="389">
        <f>+I216/I215</f>
        <v>1</v>
      </c>
      <c r="J217" s="390" t="e">
        <f>+J216/J215</f>
        <v>#DIV/0!</v>
      </c>
      <c r="K217" s="390" t="e">
        <f>+K216/K215</f>
        <v>#DIV/0!</v>
      </c>
      <c r="L217" s="390" t="e">
        <f>+L216/L215</f>
        <v>#DIV/0!</v>
      </c>
    </row>
    <row r="218" spans="1:12" ht="24" x14ac:dyDescent="0.25">
      <c r="A218" s="899" t="s">
        <v>985</v>
      </c>
      <c r="B218" s="559" t="s">
        <v>1012</v>
      </c>
      <c r="C218" s="560">
        <v>891.5</v>
      </c>
      <c r="D218" s="561">
        <v>891.5</v>
      </c>
      <c r="E218" s="384"/>
      <c r="F218" s="384"/>
      <c r="G218" s="559" t="s">
        <v>1013</v>
      </c>
      <c r="H218" s="362">
        <f>+C219*0.8</f>
        <v>7.3039999999999997E-3</v>
      </c>
      <c r="I218" s="564">
        <f>+D219</f>
        <v>2.639E-2</v>
      </c>
      <c r="J218" s="331"/>
      <c r="K218" s="331"/>
      <c r="L218" s="331"/>
    </row>
    <row r="219" spans="1:12" ht="33.75" customHeight="1" x14ac:dyDescent="0.25">
      <c r="A219" s="899"/>
      <c r="B219" s="559" t="s">
        <v>1175</v>
      </c>
      <c r="C219" s="560">
        <v>9.1299999999999992E-3</v>
      </c>
      <c r="D219" s="561">
        <v>2.639E-2</v>
      </c>
      <c r="E219" s="384"/>
      <c r="F219" s="384"/>
      <c r="G219" s="559" t="s">
        <v>1015</v>
      </c>
      <c r="H219" s="362">
        <v>2.8999999999999998E-3</v>
      </c>
      <c r="I219" s="564">
        <v>2.1000000000000001E-2</v>
      </c>
      <c r="J219" s="331"/>
      <c r="K219" s="331"/>
      <c r="L219" s="331"/>
    </row>
    <row r="220" spans="1:12" ht="24" x14ac:dyDescent="0.25">
      <c r="A220" s="899"/>
      <c r="B220" s="559" t="s">
        <v>1016</v>
      </c>
      <c r="C220" s="560">
        <v>891.5</v>
      </c>
      <c r="D220" s="561">
        <v>891.5</v>
      </c>
      <c r="E220" s="384"/>
      <c r="F220" s="384"/>
      <c r="G220" s="367" t="s">
        <v>1017</v>
      </c>
      <c r="H220" s="389">
        <f>+H219/H218</f>
        <v>0.39704271631982474</v>
      </c>
      <c r="I220" s="389">
        <f>+I219/I218</f>
        <v>0.79575596816976135</v>
      </c>
      <c r="J220" s="390" t="e">
        <f>+J219/J218</f>
        <v>#DIV/0!</v>
      </c>
      <c r="K220" s="390" t="e">
        <f>+K219/K218</f>
        <v>#DIV/0!</v>
      </c>
      <c r="L220" s="390" t="e">
        <f>+L219/L218</f>
        <v>#DIV/0!</v>
      </c>
    </row>
    <row r="221" spans="1:12" ht="72" x14ac:dyDescent="0.25">
      <c r="A221" s="899" t="s">
        <v>943</v>
      </c>
      <c r="B221" s="569" t="s">
        <v>1176</v>
      </c>
      <c r="C221" s="560">
        <v>74</v>
      </c>
      <c r="D221" s="561">
        <v>45393.7</v>
      </c>
      <c r="E221" s="384"/>
      <c r="F221" s="384"/>
      <c r="G221" s="559" t="s">
        <v>1018</v>
      </c>
      <c r="H221" s="391">
        <f>0.8*C222</f>
        <v>57940.688000000002</v>
      </c>
      <c r="I221" s="547">
        <f>+D222</f>
        <v>36314.959999999999</v>
      </c>
      <c r="J221" s="331"/>
      <c r="K221" s="331"/>
      <c r="L221" s="331"/>
    </row>
    <row r="222" spans="1:12" ht="24" x14ac:dyDescent="0.25">
      <c r="A222" s="899"/>
      <c r="B222" s="1085" t="s">
        <v>1149</v>
      </c>
      <c r="C222" s="897">
        <v>72425.86</v>
      </c>
      <c r="D222" s="1086">
        <f>+D221*0.8</f>
        <v>36314.959999999999</v>
      </c>
      <c r="E222" s="897"/>
      <c r="F222" s="897"/>
      <c r="G222" s="559" t="s">
        <v>1019</v>
      </c>
      <c r="H222" s="392">
        <v>44921.97</v>
      </c>
      <c r="I222" s="547">
        <v>34842.9</v>
      </c>
      <c r="J222" s="331"/>
      <c r="K222" s="331"/>
      <c r="L222" s="331"/>
    </row>
    <row r="223" spans="1:12" ht="24" x14ac:dyDescent="0.25">
      <c r="A223" s="899"/>
      <c r="B223" s="1085"/>
      <c r="C223" s="897"/>
      <c r="D223" s="1086"/>
      <c r="E223" s="897"/>
      <c r="F223" s="897"/>
      <c r="G223" s="367" t="s">
        <v>1020</v>
      </c>
      <c r="H223" s="393">
        <f>+H222/H221</f>
        <v>0.77530957174688708</v>
      </c>
      <c r="I223" s="393">
        <f>+I222/I221</f>
        <v>0.95946408862903887</v>
      </c>
      <c r="J223" s="369" t="e">
        <f>+J222/J221</f>
        <v>#DIV/0!</v>
      </c>
      <c r="K223" s="369" t="e">
        <f>+K222/K221</f>
        <v>#DIV/0!</v>
      </c>
      <c r="L223" s="369" t="e">
        <f>+L222/L221</f>
        <v>#DIV/0!</v>
      </c>
    </row>
    <row r="224" spans="1:12" ht="48" x14ac:dyDescent="0.25">
      <c r="A224" s="895" t="s">
        <v>995</v>
      </c>
      <c r="B224" s="559" t="s">
        <v>1021</v>
      </c>
      <c r="C224" s="560">
        <v>2</v>
      </c>
      <c r="D224" s="561">
        <v>4</v>
      </c>
      <c r="E224" s="384"/>
      <c r="F224" s="384"/>
      <c r="G224" s="559" t="s">
        <v>997</v>
      </c>
      <c r="H224" s="564">
        <f>+C225</f>
        <v>2</v>
      </c>
      <c r="I224" s="564">
        <f>+D225</f>
        <v>3</v>
      </c>
      <c r="J224" s="331"/>
      <c r="K224" s="331"/>
      <c r="L224" s="331"/>
    </row>
    <row r="225" spans="1:15" ht="24" x14ac:dyDescent="0.25">
      <c r="A225" s="895"/>
      <c r="B225" s="896" t="s">
        <v>1022</v>
      </c>
      <c r="C225" s="897">
        <v>2</v>
      </c>
      <c r="D225" s="898">
        <f>+INT(D224*0.8)</f>
        <v>3</v>
      </c>
      <c r="E225" s="897"/>
      <c r="F225" s="897"/>
      <c r="G225" s="559" t="s">
        <v>999</v>
      </c>
      <c r="H225" s="564">
        <v>2</v>
      </c>
      <c r="I225" s="564">
        <v>2</v>
      </c>
      <c r="J225" s="331"/>
      <c r="K225" s="331"/>
      <c r="L225" s="331"/>
    </row>
    <row r="226" spans="1:15" ht="24" x14ac:dyDescent="0.25">
      <c r="A226" s="895"/>
      <c r="B226" s="896"/>
      <c r="C226" s="897"/>
      <c r="D226" s="898"/>
      <c r="E226" s="897"/>
      <c r="F226" s="897"/>
      <c r="G226" s="367" t="s">
        <v>964</v>
      </c>
      <c r="H226" s="394">
        <f>+H225/H224</f>
        <v>1</v>
      </c>
      <c r="I226" s="394">
        <f>+I225/I224</f>
        <v>0.66666666666666663</v>
      </c>
      <c r="J226" s="395" t="e">
        <f>+J225/J224</f>
        <v>#DIV/0!</v>
      </c>
      <c r="K226" s="395" t="e">
        <f>+K225/K224</f>
        <v>#DIV/0!</v>
      </c>
      <c r="L226" s="395" t="e">
        <f>+L225/L224</f>
        <v>#DIV/0!</v>
      </c>
    </row>
    <row r="227" spans="1:15" x14ac:dyDescent="0.25">
      <c r="A227" s="903" t="s">
        <v>1000</v>
      </c>
      <c r="B227" s="903"/>
      <c r="C227" s="903"/>
      <c r="D227" s="903"/>
      <c r="E227" s="903"/>
      <c r="F227" s="903"/>
      <c r="G227" s="569" t="s">
        <v>1001</v>
      </c>
      <c r="H227" s="396"/>
      <c r="I227" s="397"/>
      <c r="J227" s="397"/>
      <c r="K227" s="397"/>
      <c r="L227" s="397"/>
    </row>
    <row r="228" spans="1:15" x14ac:dyDescent="0.25">
      <c r="A228" s="903"/>
      <c r="B228" s="903"/>
      <c r="C228" s="903"/>
      <c r="D228" s="903"/>
      <c r="E228" s="903"/>
      <c r="F228" s="903"/>
      <c r="G228" s="569" t="s">
        <v>1002</v>
      </c>
      <c r="H228" s="396"/>
      <c r="I228" s="397"/>
      <c r="J228" s="397"/>
      <c r="K228" s="397"/>
      <c r="L228" s="331"/>
    </row>
    <row r="229" spans="1:15" x14ac:dyDescent="0.25">
      <c r="A229" s="903"/>
      <c r="B229" s="903"/>
      <c r="C229" s="903"/>
      <c r="D229" s="903"/>
      <c r="E229" s="903"/>
      <c r="F229" s="903"/>
      <c r="G229" s="398" t="s">
        <v>1003</v>
      </c>
      <c r="H229" s="548">
        <f>AVERAGE(H226,H223,H220,H217,H214)</f>
        <v>0.76260082887494429</v>
      </c>
      <c r="I229" s="548">
        <f>AVERAGE(I226,I223,I220,I217,I214)</f>
        <v>0.80289586321161188</v>
      </c>
      <c r="J229" s="395"/>
      <c r="K229" s="395"/>
      <c r="L229" s="395"/>
    </row>
    <row r="230" spans="1:15" ht="42" customHeight="1" x14ac:dyDescent="0.25">
      <c r="A230" s="375"/>
      <c r="B230" s="339"/>
      <c r="C230" s="399"/>
      <c r="D230" s="556"/>
      <c r="E230" s="399"/>
      <c r="F230" s="399"/>
      <c r="G230" s="339"/>
      <c r="H230" s="28"/>
      <c r="I230" s="28"/>
      <c r="J230" s="28"/>
      <c r="K230" s="28"/>
    </row>
    <row r="231" spans="1:15" ht="35.25" customHeight="1" x14ac:dyDescent="0.25">
      <c r="A231" s="885" t="s">
        <v>909</v>
      </c>
      <c r="B231" s="885"/>
      <c r="C231" s="885"/>
      <c r="D231" s="885"/>
      <c r="E231" s="885"/>
      <c r="F231" s="885"/>
      <c r="G231" s="885"/>
      <c r="H231" s="885"/>
      <c r="I231" s="885"/>
      <c r="J231" s="885"/>
      <c r="K231" s="885"/>
      <c r="L231" s="885"/>
      <c r="M231" s="885"/>
      <c r="N231" s="885"/>
      <c r="O231" s="885"/>
    </row>
    <row r="232" spans="1:15" ht="42" customHeight="1" x14ac:dyDescent="0.25">
      <c r="A232" s="887" t="s">
        <v>1177</v>
      </c>
      <c r="B232" s="887"/>
      <c r="C232" s="400" t="s">
        <v>921</v>
      </c>
      <c r="D232" s="401" t="s">
        <v>922</v>
      </c>
      <c r="E232" s="400" t="s">
        <v>923</v>
      </c>
      <c r="F232" s="400" t="s">
        <v>924</v>
      </c>
      <c r="G232" s="400" t="s">
        <v>959</v>
      </c>
      <c r="I232" s="28"/>
      <c r="J232" s="28"/>
      <c r="K232" s="28"/>
    </row>
    <row r="233" spans="1:15" ht="14.25" customHeight="1" x14ac:dyDescent="0.25">
      <c r="A233" s="892" t="s">
        <v>1024</v>
      </c>
      <c r="B233" s="311" t="s">
        <v>929</v>
      </c>
      <c r="C233" s="402">
        <f>33+9</f>
        <v>42</v>
      </c>
      <c r="D233" s="403">
        <v>14</v>
      </c>
      <c r="E233" s="404"/>
      <c r="F233" s="404"/>
      <c r="G233" s="405"/>
      <c r="I233" s="28"/>
      <c r="J233" s="28"/>
      <c r="K233" s="28"/>
    </row>
    <row r="234" spans="1:15" x14ac:dyDescent="0.25">
      <c r="A234" s="893"/>
      <c r="B234" s="311" t="s">
        <v>930</v>
      </c>
      <c r="C234" s="402">
        <v>41</v>
      </c>
      <c r="D234" s="403">
        <v>23</v>
      </c>
      <c r="E234" s="404"/>
      <c r="F234" s="404"/>
      <c r="G234" s="405"/>
      <c r="I234" s="28"/>
      <c r="J234" s="28"/>
      <c r="K234" s="28"/>
    </row>
    <row r="235" spans="1:15" x14ac:dyDescent="0.25">
      <c r="A235" s="893"/>
      <c r="B235" s="311" t="s">
        <v>931</v>
      </c>
      <c r="C235" s="402">
        <v>37</v>
      </c>
      <c r="D235" s="403">
        <v>9</v>
      </c>
      <c r="E235" s="404"/>
      <c r="F235" s="404"/>
      <c r="G235" s="405"/>
      <c r="I235" s="28"/>
      <c r="J235" s="28"/>
      <c r="K235" s="28"/>
    </row>
    <row r="236" spans="1:15" x14ac:dyDescent="0.25">
      <c r="A236" s="893"/>
      <c r="B236" s="311" t="s">
        <v>932</v>
      </c>
      <c r="C236" s="402">
        <v>14</v>
      </c>
      <c r="D236" s="403">
        <v>20</v>
      </c>
      <c r="E236" s="404"/>
      <c r="F236" s="404"/>
      <c r="G236" s="405"/>
      <c r="I236" s="28"/>
      <c r="J236" s="28"/>
      <c r="K236" s="28"/>
    </row>
    <row r="237" spans="1:15" x14ac:dyDescent="0.25">
      <c r="A237" s="894"/>
      <c r="B237" s="329" t="s">
        <v>81</v>
      </c>
      <c r="C237" s="406">
        <f>SUM(C233:C236)</f>
        <v>134</v>
      </c>
      <c r="D237" s="407">
        <f>SUM(D233:D236)</f>
        <v>66</v>
      </c>
      <c r="E237" s="408">
        <f>SUM(E233:E236)</f>
        <v>0</v>
      </c>
      <c r="F237" s="408">
        <f>SUM(F233:F236)</f>
        <v>0</v>
      </c>
      <c r="G237" s="408">
        <f>SUM(G233:G236)</f>
        <v>0</v>
      </c>
      <c r="H237" s="28"/>
      <c r="I237" s="28"/>
      <c r="J237" s="28"/>
      <c r="K237" s="28"/>
    </row>
    <row r="238" spans="1:15" x14ac:dyDescent="0.25">
      <c r="A238" s="886" t="s">
        <v>1025</v>
      </c>
      <c r="B238" s="311" t="s">
        <v>929</v>
      </c>
      <c r="C238" s="409">
        <v>3</v>
      </c>
      <c r="D238" s="561">
        <v>13</v>
      </c>
      <c r="E238" s="560"/>
      <c r="F238" s="560"/>
      <c r="G238" s="559"/>
      <c r="H238" s="28"/>
      <c r="I238" s="28"/>
      <c r="J238" s="28"/>
      <c r="K238" s="28"/>
    </row>
    <row r="239" spans="1:15" x14ac:dyDescent="0.25">
      <c r="A239" s="886"/>
      <c r="B239" s="311" t="s">
        <v>930</v>
      </c>
      <c r="C239" s="409">
        <v>6</v>
      </c>
      <c r="D239" s="561">
        <v>20</v>
      </c>
      <c r="E239" s="560"/>
      <c r="F239" s="560"/>
      <c r="G239" s="559"/>
      <c r="H239" s="28"/>
      <c r="I239" s="28"/>
      <c r="J239" s="28"/>
      <c r="K239" s="28"/>
    </row>
    <row r="240" spans="1:15" x14ac:dyDescent="0.25">
      <c r="A240" s="886"/>
      <c r="B240" s="311" t="s">
        <v>931</v>
      </c>
      <c r="C240" s="409">
        <v>22</v>
      </c>
      <c r="D240" s="561">
        <v>16</v>
      </c>
      <c r="E240" s="560"/>
      <c r="F240" s="560"/>
      <c r="G240" s="559"/>
      <c r="H240" s="28"/>
      <c r="I240" s="28"/>
      <c r="J240" s="28"/>
      <c r="K240" s="28"/>
    </row>
    <row r="241" spans="1:15" x14ac:dyDescent="0.25">
      <c r="A241" s="886"/>
      <c r="B241" s="311" t="s">
        <v>932</v>
      </c>
      <c r="C241" s="402">
        <v>12</v>
      </c>
      <c r="D241" s="561">
        <v>14</v>
      </c>
      <c r="E241" s="404"/>
      <c r="F241" s="404"/>
      <c r="G241" s="405"/>
      <c r="H241" s="28"/>
      <c r="I241" s="28"/>
      <c r="J241" s="28"/>
      <c r="K241" s="28"/>
    </row>
    <row r="242" spans="1:15" x14ac:dyDescent="0.25">
      <c r="A242" s="886"/>
      <c r="B242" s="329" t="s">
        <v>81</v>
      </c>
      <c r="C242" s="406">
        <f>SUM(C238:C241)</f>
        <v>43</v>
      </c>
      <c r="D242" s="407">
        <f>SUM(D238:D241)</f>
        <v>63</v>
      </c>
      <c r="E242" s="408">
        <f>SUM(E238:E241)</f>
        <v>0</v>
      </c>
      <c r="F242" s="408">
        <f>SUM(F238:F241)</f>
        <v>0</v>
      </c>
      <c r="G242" s="408">
        <f>SUM(G238:G241)</f>
        <v>0</v>
      </c>
      <c r="H242" s="28"/>
      <c r="I242" s="28"/>
      <c r="J242" s="28"/>
      <c r="K242" s="28"/>
    </row>
    <row r="243" spans="1:15" x14ac:dyDescent="0.25">
      <c r="A243" s="886" t="s">
        <v>1026</v>
      </c>
      <c r="B243" s="311" t="s">
        <v>929</v>
      </c>
      <c r="C243" s="409">
        <v>0</v>
      </c>
      <c r="D243" s="561">
        <v>0</v>
      </c>
      <c r="E243" s="560"/>
      <c r="F243" s="560"/>
      <c r="G243" s="559"/>
      <c r="H243" s="28"/>
      <c r="I243" s="28"/>
      <c r="J243" s="28"/>
      <c r="K243" s="28"/>
    </row>
    <row r="244" spans="1:15" x14ac:dyDescent="0.25">
      <c r="A244" s="886"/>
      <c r="B244" s="311" t="s">
        <v>930</v>
      </c>
      <c r="C244" s="409">
        <v>0</v>
      </c>
      <c r="D244" s="561">
        <v>2</v>
      </c>
      <c r="E244" s="560"/>
      <c r="F244" s="560"/>
      <c r="G244" s="559"/>
      <c r="H244" s="28"/>
      <c r="I244" s="28"/>
      <c r="J244" s="28"/>
      <c r="K244" s="28"/>
    </row>
    <row r="245" spans="1:15" x14ac:dyDescent="0.25">
      <c r="A245" s="886"/>
      <c r="B245" s="311" t="s">
        <v>931</v>
      </c>
      <c r="C245" s="409">
        <v>0</v>
      </c>
      <c r="D245" s="561">
        <v>0</v>
      </c>
      <c r="E245" s="560"/>
      <c r="F245" s="560"/>
      <c r="G245" s="559"/>
      <c r="H245" s="28"/>
      <c r="I245" s="28"/>
      <c r="J245" s="28"/>
      <c r="K245" s="28"/>
    </row>
    <row r="246" spans="1:15" x14ac:dyDescent="0.25">
      <c r="A246" s="886"/>
      <c r="B246" s="311" t="s">
        <v>932</v>
      </c>
      <c r="C246" s="402">
        <v>0</v>
      </c>
      <c r="D246" s="403">
        <v>0</v>
      </c>
      <c r="E246" s="404"/>
      <c r="F246" s="404"/>
      <c r="G246" s="405"/>
      <c r="H246" s="28"/>
      <c r="I246" s="28"/>
      <c r="J246" s="28"/>
      <c r="K246" s="28"/>
    </row>
    <row r="247" spans="1:15" x14ac:dyDescent="0.25">
      <c r="A247" s="886"/>
      <c r="B247" s="329" t="s">
        <v>81</v>
      </c>
      <c r="C247" s="406">
        <f>SUM(C243:C246)</f>
        <v>0</v>
      </c>
      <c r="D247" s="407">
        <f>SUM(D243:D246)</f>
        <v>2</v>
      </c>
      <c r="E247" s="408">
        <f>SUM(E243:E246)</f>
        <v>0</v>
      </c>
      <c r="F247" s="408">
        <f>SUM(F243:F246)</f>
        <v>0</v>
      </c>
      <c r="G247" s="408">
        <f>SUM(G243:G246)</f>
        <v>0</v>
      </c>
      <c r="H247" s="28"/>
      <c r="I247" s="28"/>
      <c r="J247" s="28"/>
      <c r="K247" s="28"/>
    </row>
    <row r="248" spans="1:15" x14ac:dyDescent="0.25">
      <c r="A248" s="886" t="s">
        <v>1027</v>
      </c>
      <c r="B248" s="311" t="s">
        <v>929</v>
      </c>
      <c r="C248" s="410">
        <f>+(C238+C243)/C233</f>
        <v>7.1428571428571425E-2</v>
      </c>
      <c r="D248" s="410">
        <f>+(D238+D243)/D233</f>
        <v>0.9285714285714286</v>
      </c>
      <c r="E248" s="560"/>
      <c r="F248" s="560"/>
      <c r="G248" s="559"/>
      <c r="H248" s="28"/>
      <c r="I248" s="28"/>
      <c r="J248" s="28"/>
      <c r="K248" s="28"/>
    </row>
    <row r="249" spans="1:15" x14ac:dyDescent="0.25">
      <c r="A249" s="886"/>
      <c r="B249" s="311" t="s">
        <v>930</v>
      </c>
      <c r="C249" s="410">
        <f>(C239+C244)/C234</f>
        <v>0.14634146341463414</v>
      </c>
      <c r="D249" s="410">
        <f>+(D239+D244)/D234</f>
        <v>0.95652173913043481</v>
      </c>
      <c r="E249" s="560"/>
      <c r="F249" s="560"/>
      <c r="G249" s="559"/>
      <c r="H249" s="28"/>
      <c r="I249" s="28"/>
      <c r="J249" s="28"/>
      <c r="K249" s="28"/>
    </row>
    <row r="250" spans="1:15" x14ac:dyDescent="0.25">
      <c r="A250" s="886"/>
      <c r="B250" s="311" t="s">
        <v>931</v>
      </c>
      <c r="C250" s="410">
        <f>+(C240+C245)/C235</f>
        <v>0.59459459459459463</v>
      </c>
      <c r="D250" s="410">
        <f>+(D240+D245)/D235</f>
        <v>1.7777777777777777</v>
      </c>
      <c r="E250" s="560"/>
      <c r="F250" s="560"/>
      <c r="G250" s="559"/>
      <c r="H250" s="28"/>
      <c r="I250" s="28"/>
      <c r="J250" s="28"/>
      <c r="K250" s="28"/>
    </row>
    <row r="251" spans="1:15" x14ac:dyDescent="0.25">
      <c r="A251" s="886"/>
      <c r="B251" s="311" t="s">
        <v>932</v>
      </c>
      <c r="C251" s="410">
        <f>+(C241+C246)/C236</f>
        <v>0.8571428571428571</v>
      </c>
      <c r="D251" s="410">
        <f>+(D241+D246)/D236</f>
        <v>0.7</v>
      </c>
      <c r="E251" s="404"/>
      <c r="F251" s="404"/>
      <c r="G251" s="405"/>
      <c r="H251" s="28"/>
      <c r="I251" s="28"/>
      <c r="J251" s="28"/>
      <c r="K251" s="28"/>
    </row>
    <row r="252" spans="1:15" x14ac:dyDescent="0.25">
      <c r="A252" s="886"/>
      <c r="B252" s="329" t="s">
        <v>81</v>
      </c>
      <c r="C252" s="411">
        <f>(C242+C247)/C237</f>
        <v>0.32089552238805968</v>
      </c>
      <c r="D252" s="411">
        <f>(D242+D247)/D237</f>
        <v>0.98484848484848486</v>
      </c>
      <c r="E252" s="408">
        <f>SUM(E248:E251)</f>
        <v>0</v>
      </c>
      <c r="F252" s="408">
        <f>SUM(F248:F251)</f>
        <v>0</v>
      </c>
      <c r="G252" s="408">
        <f>SUM(G248:G251)</f>
        <v>0</v>
      </c>
      <c r="H252" s="28"/>
      <c r="I252" s="28"/>
      <c r="J252" s="28"/>
      <c r="K252" s="28"/>
    </row>
    <row r="253" spans="1:15" x14ac:dyDescent="0.25">
      <c r="A253" s="412"/>
      <c r="B253" s="28"/>
      <c r="C253" s="399"/>
      <c r="D253" s="556"/>
      <c r="E253" s="399"/>
      <c r="F253" s="399"/>
      <c r="G253" s="399"/>
      <c r="H253" s="28"/>
      <c r="I253" s="28"/>
      <c r="J253" s="28"/>
      <c r="K253" s="28"/>
    </row>
    <row r="254" spans="1:15" ht="35.25" customHeight="1" x14ac:dyDescent="0.25">
      <c r="A254" s="885" t="s">
        <v>1028</v>
      </c>
      <c r="B254" s="885"/>
      <c r="C254" s="885"/>
      <c r="D254" s="885"/>
      <c r="E254" s="885"/>
      <c r="F254" s="885"/>
      <c r="G254" s="885"/>
      <c r="H254" s="885"/>
      <c r="I254" s="885"/>
      <c r="J254" s="885"/>
      <c r="K254" s="885"/>
      <c r="L254" s="885"/>
      <c r="M254" s="885"/>
      <c r="N254" s="885"/>
      <c r="O254" s="885"/>
    </row>
    <row r="255" spans="1:15" x14ac:dyDescent="0.25">
      <c r="A255" s="412"/>
      <c r="B255" s="28"/>
      <c r="C255" s="399"/>
      <c r="D255" s="556"/>
      <c r="E255" s="399"/>
      <c r="F255" s="399"/>
      <c r="G255" s="399"/>
      <c r="H255" s="28"/>
      <c r="I255" s="28"/>
      <c r="J255" s="28"/>
      <c r="K255" s="28"/>
    </row>
    <row r="256" spans="1:15" ht="27.75" customHeight="1" x14ac:dyDescent="0.25">
      <c r="A256" s="887" t="s">
        <v>1178</v>
      </c>
      <c r="B256" s="887"/>
      <c r="C256" s="400" t="s">
        <v>921</v>
      </c>
      <c r="D256" s="401" t="s">
        <v>922</v>
      </c>
      <c r="E256" s="400" t="s">
        <v>923</v>
      </c>
      <c r="F256" s="400" t="s">
        <v>924</v>
      </c>
      <c r="G256" s="400" t="s">
        <v>959</v>
      </c>
      <c r="H256" s="28"/>
      <c r="I256" s="28"/>
      <c r="J256" s="28"/>
      <c r="K256" s="28"/>
    </row>
    <row r="257" spans="1:11" ht="14" x14ac:dyDescent="0.3">
      <c r="A257" s="1082" t="s">
        <v>1030</v>
      </c>
      <c r="B257" s="413" t="s">
        <v>929</v>
      </c>
      <c r="C257" s="404">
        <v>354</v>
      </c>
      <c r="D257" s="403">
        <v>444</v>
      </c>
      <c r="E257" s="404"/>
      <c r="F257" s="404"/>
      <c r="G257" s="405"/>
      <c r="H257" s="28"/>
      <c r="I257" s="28"/>
      <c r="J257" s="28"/>
      <c r="K257" s="28"/>
    </row>
    <row r="258" spans="1:11" ht="14" x14ac:dyDescent="0.3">
      <c r="A258" s="1083"/>
      <c r="B258" s="413" t="s">
        <v>930</v>
      </c>
      <c r="C258" s="404">
        <f>540-C257</f>
        <v>186</v>
      </c>
      <c r="D258" s="403">
        <v>516</v>
      </c>
      <c r="E258" s="404"/>
      <c r="F258" s="404"/>
      <c r="G258" s="405"/>
      <c r="H258" s="28"/>
      <c r="I258" s="28"/>
      <c r="J258" s="28"/>
      <c r="K258" s="28"/>
    </row>
    <row r="259" spans="1:11" ht="14" x14ac:dyDescent="0.3">
      <c r="A259" s="1083"/>
      <c r="B259" s="413" t="s">
        <v>931</v>
      </c>
      <c r="C259" s="414">
        <f>742-540</f>
        <v>202</v>
      </c>
      <c r="D259" s="403">
        <v>289</v>
      </c>
      <c r="E259" s="404"/>
      <c r="F259" s="404"/>
      <c r="G259" s="405"/>
      <c r="H259" s="28"/>
      <c r="I259" s="28"/>
      <c r="J259" s="28"/>
      <c r="K259" s="28"/>
    </row>
    <row r="260" spans="1:11" ht="14" x14ac:dyDescent="0.3">
      <c r="A260" s="1083"/>
      <c r="B260" s="413" t="s">
        <v>932</v>
      </c>
      <c r="C260" s="404">
        <f>836-742</f>
        <v>94</v>
      </c>
      <c r="D260" s="403">
        <v>190</v>
      </c>
      <c r="E260" s="404"/>
      <c r="F260" s="404"/>
      <c r="G260" s="405"/>
      <c r="H260" s="28"/>
      <c r="I260" s="28"/>
      <c r="J260" s="28"/>
      <c r="K260" s="28"/>
    </row>
    <row r="261" spans="1:11" ht="14" x14ac:dyDescent="0.3">
      <c r="A261" s="1084"/>
      <c r="B261" s="415" t="s">
        <v>81</v>
      </c>
      <c r="C261" s="416">
        <f>SUM(C257:C260)</f>
        <v>836</v>
      </c>
      <c r="D261" s="407">
        <f>SUM(D257:D260)</f>
        <v>1439</v>
      </c>
      <c r="E261" s="408">
        <f>SUM(E257:E260)</f>
        <v>0</v>
      </c>
      <c r="F261" s="408">
        <f>SUM(F257:F260)</f>
        <v>0</v>
      </c>
      <c r="G261" s="408">
        <f>SUM(G257:G260)</f>
        <v>0</v>
      </c>
      <c r="H261" s="28"/>
      <c r="I261" s="28"/>
      <c r="J261" s="28"/>
      <c r="K261" s="28"/>
    </row>
    <row r="262" spans="1:11" ht="14" x14ac:dyDescent="0.3">
      <c r="A262" s="908" t="s">
        <v>1031</v>
      </c>
      <c r="B262" s="413" t="s">
        <v>929</v>
      </c>
      <c r="C262" s="560">
        <f>354-30</f>
        <v>324</v>
      </c>
      <c r="D262" s="561">
        <v>414</v>
      </c>
      <c r="E262" s="560"/>
      <c r="F262" s="560"/>
      <c r="G262" s="559"/>
      <c r="H262" s="28"/>
      <c r="I262" s="28"/>
      <c r="J262" s="28"/>
      <c r="K262" s="28"/>
    </row>
    <row r="263" spans="1:11" ht="14" x14ac:dyDescent="0.3">
      <c r="A263" s="908"/>
      <c r="B263" s="413" t="s">
        <v>930</v>
      </c>
      <c r="C263" s="560">
        <f>186-35</f>
        <v>151</v>
      </c>
      <c r="D263" s="561">
        <v>473</v>
      </c>
      <c r="E263" s="560"/>
      <c r="F263" s="560"/>
      <c r="G263" s="559"/>
      <c r="H263" s="28"/>
      <c r="I263" s="28"/>
      <c r="J263" s="28"/>
      <c r="K263" s="28"/>
    </row>
    <row r="264" spans="1:11" ht="14" x14ac:dyDescent="0.3">
      <c r="A264" s="908"/>
      <c r="B264" s="413" t="s">
        <v>931</v>
      </c>
      <c r="C264" s="560">
        <f>692-475</f>
        <v>217</v>
      </c>
      <c r="D264" s="561">
        <v>267</v>
      </c>
      <c r="E264" s="560"/>
      <c r="F264" s="560"/>
      <c r="G264" s="559"/>
      <c r="H264" s="28"/>
      <c r="I264" s="28"/>
      <c r="J264" s="28"/>
      <c r="K264" s="28"/>
    </row>
    <row r="265" spans="1:11" ht="14" x14ac:dyDescent="0.3">
      <c r="A265" s="908"/>
      <c r="B265" s="413" t="s">
        <v>932</v>
      </c>
      <c r="C265" s="404">
        <f>774-692</f>
        <v>82</v>
      </c>
      <c r="D265" s="403">
        <v>170</v>
      </c>
      <c r="E265" s="404"/>
      <c r="F265" s="404"/>
      <c r="G265" s="405"/>
      <c r="H265" s="28"/>
      <c r="I265" s="28"/>
      <c r="J265" s="28"/>
      <c r="K265" s="28"/>
    </row>
    <row r="266" spans="1:11" ht="14" x14ac:dyDescent="0.3">
      <c r="A266" s="908"/>
      <c r="B266" s="415" t="s">
        <v>81</v>
      </c>
      <c r="C266" s="416">
        <f>SUM(C262:C265)</f>
        <v>774</v>
      </c>
      <c r="D266" s="407">
        <f>SUM(D262:D265)</f>
        <v>1324</v>
      </c>
      <c r="E266" s="408">
        <f>SUM(E262:E265)</f>
        <v>0</v>
      </c>
      <c r="F266" s="408">
        <f>SUM(F262:F265)</f>
        <v>0</v>
      </c>
      <c r="G266" s="408">
        <f>SUM(G262:G265)</f>
        <v>0</v>
      </c>
      <c r="H266" s="28"/>
      <c r="I266" s="28"/>
      <c r="J266" s="28"/>
      <c r="K266" s="28"/>
    </row>
    <row r="267" spans="1:11" ht="14" x14ac:dyDescent="0.3">
      <c r="A267" s="908" t="s">
        <v>1032</v>
      </c>
      <c r="B267" s="413" t="s">
        <v>929</v>
      </c>
      <c r="C267" s="417">
        <f t="shared" ref="C267:D271" si="7">+C262/C257</f>
        <v>0.9152542372881356</v>
      </c>
      <c r="D267" s="417">
        <f t="shared" si="7"/>
        <v>0.93243243243243246</v>
      </c>
      <c r="E267" s="560"/>
      <c r="F267" s="560" t="e">
        <f t="shared" ref="F267:G271" si="8">+F262/F257</f>
        <v>#DIV/0!</v>
      </c>
      <c r="G267" s="560" t="e">
        <f t="shared" si="8"/>
        <v>#DIV/0!</v>
      </c>
      <c r="H267" s="28"/>
      <c r="I267" s="28"/>
      <c r="J267" s="28"/>
      <c r="K267" s="28"/>
    </row>
    <row r="268" spans="1:11" ht="14" x14ac:dyDescent="0.3">
      <c r="A268" s="908"/>
      <c r="B268" s="413" t="s">
        <v>930</v>
      </c>
      <c r="C268" s="417">
        <f t="shared" si="7"/>
        <v>0.81182795698924726</v>
      </c>
      <c r="D268" s="417">
        <f t="shared" si="7"/>
        <v>0.91666666666666663</v>
      </c>
      <c r="E268" s="560"/>
      <c r="F268" s="560" t="e">
        <f t="shared" si="8"/>
        <v>#DIV/0!</v>
      </c>
      <c r="G268" s="560" t="e">
        <f t="shared" si="8"/>
        <v>#DIV/0!</v>
      </c>
      <c r="H268" s="28"/>
      <c r="I268" s="28"/>
      <c r="J268" s="28"/>
      <c r="K268" s="28"/>
    </row>
    <row r="269" spans="1:11" ht="21.75" customHeight="1" x14ac:dyDescent="0.3">
      <c r="A269" s="908"/>
      <c r="B269" s="413" t="s">
        <v>931</v>
      </c>
      <c r="C269" s="417">
        <f t="shared" si="7"/>
        <v>1.0742574257425743</v>
      </c>
      <c r="D269" s="417">
        <f t="shared" si="7"/>
        <v>0.92387543252595161</v>
      </c>
      <c r="E269" s="560"/>
      <c r="F269" s="560" t="e">
        <f t="shared" si="8"/>
        <v>#DIV/0!</v>
      </c>
      <c r="G269" s="560" t="e">
        <f t="shared" si="8"/>
        <v>#DIV/0!</v>
      </c>
      <c r="H269" s="28"/>
      <c r="I269" s="28"/>
      <c r="J269" s="28"/>
      <c r="K269" s="28"/>
    </row>
    <row r="270" spans="1:11" ht="14" x14ac:dyDescent="0.3">
      <c r="A270" s="908"/>
      <c r="B270" s="413" t="s">
        <v>932</v>
      </c>
      <c r="C270" s="417">
        <f t="shared" si="7"/>
        <v>0.87234042553191493</v>
      </c>
      <c r="D270" s="417">
        <f t="shared" si="7"/>
        <v>0.89473684210526316</v>
      </c>
      <c r="E270" s="560"/>
      <c r="F270" s="560" t="e">
        <f t="shared" si="8"/>
        <v>#DIV/0!</v>
      </c>
      <c r="G270" s="560" t="e">
        <f t="shared" si="8"/>
        <v>#DIV/0!</v>
      </c>
      <c r="H270" s="28"/>
      <c r="I270" s="28"/>
      <c r="J270" s="28"/>
      <c r="K270" s="28"/>
    </row>
    <row r="271" spans="1:11" x14ac:dyDescent="0.25">
      <c r="A271" s="908"/>
      <c r="B271" s="337" t="s">
        <v>81</v>
      </c>
      <c r="C271" s="418">
        <f t="shared" si="7"/>
        <v>0.92583732057416268</v>
      </c>
      <c r="D271" s="549">
        <f t="shared" si="7"/>
        <v>0.92008339124391936</v>
      </c>
      <c r="E271" s="408"/>
      <c r="F271" s="408" t="e">
        <f t="shared" si="8"/>
        <v>#DIV/0!</v>
      </c>
      <c r="G271" s="408" t="e">
        <f t="shared" si="8"/>
        <v>#DIV/0!</v>
      </c>
      <c r="H271" s="28"/>
      <c r="I271" s="28"/>
      <c r="J271" s="28"/>
      <c r="K271" s="28"/>
    </row>
    <row r="272" spans="1:11" x14ac:dyDescent="0.25">
      <c r="A272" s="412"/>
      <c r="B272" s="28"/>
      <c r="C272" s="399"/>
      <c r="D272" s="556"/>
      <c r="E272" s="399"/>
      <c r="F272" s="399"/>
      <c r="G272" s="399"/>
      <c r="H272" s="28"/>
      <c r="I272" s="28"/>
      <c r="J272" s="28"/>
      <c r="K272" s="28"/>
    </row>
    <row r="273" spans="1:15" x14ac:dyDescent="0.25">
      <c r="A273" s="412"/>
      <c r="B273" s="28"/>
      <c r="C273" s="399"/>
      <c r="D273" s="556"/>
      <c r="E273" s="399"/>
      <c r="F273" s="399"/>
      <c r="G273" s="399"/>
      <c r="H273" s="28"/>
      <c r="I273" s="28"/>
      <c r="J273" s="28"/>
      <c r="K273" s="28"/>
    </row>
    <row r="274" spans="1:15" ht="42" customHeight="1" x14ac:dyDescent="0.25">
      <c r="A274" s="375"/>
      <c r="B274" s="339"/>
      <c r="C274" s="399"/>
      <c r="D274" s="556"/>
      <c r="E274" s="399"/>
      <c r="F274" s="399"/>
      <c r="G274" s="339"/>
      <c r="H274" s="28"/>
      <c r="I274" s="28"/>
      <c r="J274" s="28"/>
      <c r="K274" s="28"/>
    </row>
    <row r="275" spans="1:15" ht="35.25" customHeight="1" x14ac:dyDescent="0.25">
      <c r="A275" s="885" t="str">
        <f>+D26</f>
        <v xml:space="preserve">Porcentaje (%) de encuesta de satisfacción calificadas por los usuarios de trámites ambientales resueltos con una nota superior o igual a  cuatro (4,0) sobre cinco (5.0). </v>
      </c>
      <c r="B275" s="885"/>
      <c r="C275" s="885"/>
      <c r="D275" s="885"/>
      <c r="E275" s="885"/>
      <c r="F275" s="885"/>
      <c r="G275" s="885"/>
      <c r="H275" s="885"/>
      <c r="I275" s="885"/>
      <c r="J275" s="885"/>
      <c r="K275" s="885"/>
      <c r="L275" s="885"/>
      <c r="M275" s="885"/>
      <c r="N275" s="885"/>
      <c r="O275" s="885"/>
    </row>
    <row r="277" spans="1:15" ht="32.25" customHeight="1" x14ac:dyDescent="0.25">
      <c r="A277" s="26"/>
      <c r="G277" s="341">
        <v>2016</v>
      </c>
      <c r="H277" s="341">
        <v>2017</v>
      </c>
      <c r="I277" s="341">
        <v>2018</v>
      </c>
      <c r="J277" s="341">
        <v>2019</v>
      </c>
      <c r="K277" s="154" t="s">
        <v>1179</v>
      </c>
    </row>
    <row r="278" spans="1:15" ht="32.25" customHeight="1" x14ac:dyDescent="0.45">
      <c r="A278" s="856" t="s">
        <v>1033</v>
      </c>
      <c r="B278" s="857"/>
      <c r="C278" s="857"/>
      <c r="D278" s="857"/>
      <c r="E278" s="857"/>
      <c r="F278" s="1012"/>
      <c r="G278" s="32">
        <f>+K292</f>
        <v>1</v>
      </c>
      <c r="H278" s="32">
        <v>1</v>
      </c>
      <c r="I278" s="191"/>
      <c r="J278" s="191"/>
    </row>
    <row r="279" spans="1:15" ht="32.25" customHeight="1" x14ac:dyDescent="0.45">
      <c r="A279" s="856" t="s">
        <v>1034</v>
      </c>
      <c r="B279" s="857"/>
      <c r="C279" s="857"/>
      <c r="D279" s="857"/>
      <c r="E279" s="857"/>
      <c r="F279" s="1012"/>
      <c r="G279" s="32">
        <f>+K296</f>
        <v>0.8</v>
      </c>
      <c r="H279" s="32"/>
      <c r="I279" s="191"/>
      <c r="J279" s="191"/>
    </row>
    <row r="280" spans="1:15" ht="32.25" customHeight="1" x14ac:dyDescent="0.45">
      <c r="A280" s="856" t="s">
        <v>1035</v>
      </c>
      <c r="B280" s="857"/>
      <c r="C280" s="857"/>
      <c r="D280" s="857"/>
      <c r="E280" s="857"/>
      <c r="F280" s="1012"/>
      <c r="G280" s="32">
        <f>+K293</f>
        <v>1</v>
      </c>
      <c r="H280" s="32"/>
      <c r="I280" s="191"/>
      <c r="J280" s="191"/>
    </row>
    <row r="281" spans="1:15" ht="32.25" customHeight="1" x14ac:dyDescent="0.45">
      <c r="A281" s="856" t="s">
        <v>1036</v>
      </c>
      <c r="B281" s="857"/>
      <c r="C281" s="857"/>
      <c r="D281" s="857"/>
      <c r="E281" s="857"/>
      <c r="F281" s="1012"/>
      <c r="G281" s="32">
        <f>+K294</f>
        <v>0.9375</v>
      </c>
      <c r="H281" s="32"/>
      <c r="I281" s="191"/>
      <c r="J281" s="191"/>
    </row>
    <row r="282" spans="1:15" ht="32.25" customHeight="1" x14ac:dyDescent="0.45">
      <c r="A282" s="856" t="s">
        <v>1037</v>
      </c>
      <c r="B282" s="857"/>
      <c r="C282" s="857"/>
      <c r="D282" s="857"/>
      <c r="E282" s="857"/>
      <c r="F282" s="1012"/>
      <c r="G282" s="32">
        <f>+K295</f>
        <v>0.72727272727272729</v>
      </c>
      <c r="H282" s="32"/>
      <c r="I282" s="191"/>
      <c r="J282" s="191"/>
    </row>
    <row r="283" spans="1:15" ht="23" x14ac:dyDescent="0.45">
      <c r="A283" s="856" t="s">
        <v>1038</v>
      </c>
      <c r="B283" s="857"/>
      <c r="C283" s="857"/>
      <c r="D283" s="857"/>
      <c r="E283" s="857"/>
      <c r="F283" s="1012"/>
      <c r="G283" s="32">
        <f>+K297</f>
        <v>0.8571428571428571</v>
      </c>
      <c r="H283" s="32"/>
      <c r="I283" s="191"/>
      <c r="J283" s="191"/>
    </row>
    <row r="284" spans="1:15" ht="23" x14ac:dyDescent="0.45">
      <c r="A284" s="856" t="s">
        <v>76</v>
      </c>
      <c r="B284" s="857"/>
      <c r="C284" s="857"/>
      <c r="D284" s="857"/>
      <c r="E284" s="857"/>
      <c r="F284" s="1012"/>
      <c r="G284" s="32">
        <v>0.9</v>
      </c>
      <c r="H284" s="32">
        <v>0.9</v>
      </c>
      <c r="I284" s="191">
        <v>0.9</v>
      </c>
      <c r="J284" s="191">
        <v>0.9</v>
      </c>
    </row>
    <row r="285" spans="1:15" x14ac:dyDescent="0.25">
      <c r="A285" s="5"/>
    </row>
    <row r="286" spans="1:15" ht="17.5" x14ac:dyDescent="0.25">
      <c r="A286" s="5"/>
      <c r="B286" s="28"/>
      <c r="C286" s="28"/>
      <c r="D286" s="340"/>
      <c r="G286" s="858" t="s">
        <v>77</v>
      </c>
      <c r="H286" s="858"/>
      <c r="I286" s="858" t="s">
        <v>78</v>
      </c>
      <c r="J286" s="858"/>
      <c r="K286" s="858"/>
      <c r="L286" s="858" t="s">
        <v>79</v>
      </c>
      <c r="M286" s="858"/>
      <c r="N286" s="858"/>
      <c r="O286" s="858"/>
    </row>
    <row r="287" spans="1:15" ht="137.25" customHeight="1" x14ac:dyDescent="0.25">
      <c r="A287" s="5"/>
      <c r="G287" s="858"/>
      <c r="H287" s="858"/>
      <c r="I287" s="59" t="s">
        <v>804</v>
      </c>
      <c r="J287" s="59" t="s">
        <v>220</v>
      </c>
      <c r="K287" s="59" t="s">
        <v>805</v>
      </c>
      <c r="L287" s="858"/>
      <c r="M287" s="858"/>
      <c r="N287" s="858"/>
      <c r="O287" s="858"/>
    </row>
    <row r="288" spans="1:15" ht="36.75" customHeight="1" x14ac:dyDescent="0.3">
      <c r="B288" s="29"/>
      <c r="C288" s="30"/>
      <c r="D288" s="344"/>
      <c r="G288" s="859">
        <v>2016</v>
      </c>
      <c r="H288" s="859"/>
      <c r="I288" s="45">
        <v>36</v>
      </c>
      <c r="J288" s="45">
        <v>42</v>
      </c>
      <c r="K288" s="60">
        <f>+I288/J288</f>
        <v>0.8571428571428571</v>
      </c>
      <c r="L288" s="873"/>
      <c r="M288" s="873"/>
      <c r="N288" s="873"/>
      <c r="O288" s="873"/>
    </row>
    <row r="289" spans="2:15" ht="36.75" customHeight="1" x14ac:dyDescent="0.3">
      <c r="B289" s="29"/>
      <c r="C289" s="30"/>
      <c r="D289" s="344"/>
      <c r="G289" s="859">
        <v>2017</v>
      </c>
      <c r="H289" s="859"/>
      <c r="I289" s="45"/>
      <c r="J289" s="45"/>
      <c r="K289" s="60"/>
      <c r="L289" s="873"/>
      <c r="M289" s="873"/>
      <c r="N289" s="873"/>
      <c r="O289" s="873"/>
    </row>
    <row r="290" spans="2:15" ht="36.75" customHeight="1" x14ac:dyDescent="0.3">
      <c r="B290" s="29"/>
      <c r="C290" s="30"/>
      <c r="D290" s="344"/>
      <c r="G290" s="859">
        <v>2018</v>
      </c>
      <c r="H290" s="859"/>
      <c r="I290" s="45"/>
      <c r="J290" s="45"/>
      <c r="K290" s="60"/>
      <c r="L290" s="873"/>
      <c r="M290" s="873"/>
      <c r="N290" s="873"/>
      <c r="O290" s="873"/>
    </row>
    <row r="291" spans="2:15" ht="38.25" customHeight="1" x14ac:dyDescent="0.3">
      <c r="B291" s="29"/>
      <c r="C291" s="30"/>
      <c r="D291" s="344"/>
      <c r="G291" s="859">
        <v>2019</v>
      </c>
      <c r="H291" s="859"/>
      <c r="I291" s="45"/>
      <c r="J291" s="45"/>
      <c r="K291" s="60"/>
      <c r="L291" s="873"/>
      <c r="M291" s="873"/>
      <c r="N291" s="873"/>
      <c r="O291" s="873"/>
    </row>
    <row r="292" spans="2:15" ht="41.25" customHeight="1" x14ac:dyDescent="0.25">
      <c r="G292" s="880">
        <v>2016</v>
      </c>
      <c r="H292" s="34" t="s">
        <v>1180</v>
      </c>
      <c r="I292" s="570">
        <v>1</v>
      </c>
      <c r="J292" s="570">
        <v>1</v>
      </c>
      <c r="K292" s="155">
        <f t="shared" ref="K292:K303" si="9">+I292/J292</f>
        <v>1</v>
      </c>
      <c r="L292" s="869"/>
      <c r="M292" s="869"/>
      <c r="N292" s="869"/>
      <c r="O292" s="869"/>
    </row>
    <row r="293" spans="2:15" ht="48.75" customHeight="1" x14ac:dyDescent="0.25">
      <c r="G293" s="881"/>
      <c r="H293" s="34" t="s">
        <v>563</v>
      </c>
      <c r="I293" s="570">
        <v>4</v>
      </c>
      <c r="J293" s="570">
        <v>4</v>
      </c>
      <c r="K293" s="155">
        <f t="shared" si="9"/>
        <v>1</v>
      </c>
      <c r="L293" s="869"/>
      <c r="M293" s="869"/>
      <c r="N293" s="869"/>
      <c r="O293" s="869"/>
    </row>
    <row r="294" spans="2:15" ht="56.25" customHeight="1" x14ac:dyDescent="0.25">
      <c r="G294" s="881"/>
      <c r="H294" s="34" t="s">
        <v>564</v>
      </c>
      <c r="I294" s="570">
        <v>15</v>
      </c>
      <c r="J294" s="570">
        <v>16</v>
      </c>
      <c r="K294" s="155">
        <f t="shared" si="9"/>
        <v>0.9375</v>
      </c>
      <c r="L294" s="869"/>
      <c r="M294" s="869"/>
      <c r="N294" s="869"/>
      <c r="O294" s="869"/>
    </row>
    <row r="295" spans="2:15" ht="59.25" customHeight="1" x14ac:dyDescent="0.25">
      <c r="G295" s="881"/>
      <c r="H295" s="34" t="s">
        <v>80</v>
      </c>
      <c r="I295" s="570">
        <v>8</v>
      </c>
      <c r="J295" s="570">
        <v>11</v>
      </c>
      <c r="K295" s="155">
        <f t="shared" si="9"/>
        <v>0.72727272727272729</v>
      </c>
      <c r="L295" s="869"/>
      <c r="M295" s="869"/>
      <c r="N295" s="869"/>
      <c r="O295" s="869"/>
    </row>
    <row r="296" spans="2:15" ht="41.25" customHeight="1" x14ac:dyDescent="0.25">
      <c r="G296" s="881"/>
      <c r="H296" s="34" t="s">
        <v>565</v>
      </c>
      <c r="I296" s="570">
        <v>8</v>
      </c>
      <c r="J296" s="570">
        <v>10</v>
      </c>
      <c r="K296" s="155">
        <f t="shared" si="9"/>
        <v>0.8</v>
      </c>
      <c r="L296" s="869"/>
      <c r="M296" s="869"/>
      <c r="N296" s="869"/>
      <c r="O296" s="869"/>
    </row>
    <row r="297" spans="2:15" ht="44.25" customHeight="1" x14ac:dyDescent="0.25">
      <c r="G297" s="882"/>
      <c r="H297" s="571" t="s">
        <v>81</v>
      </c>
      <c r="I297" s="35">
        <f>SUM(I292:I296)</f>
        <v>36</v>
      </c>
      <c r="J297" s="35">
        <f>SUM(J292:J296)</f>
        <v>42</v>
      </c>
      <c r="K297" s="33">
        <f t="shared" si="9"/>
        <v>0.8571428571428571</v>
      </c>
      <c r="L297" s="883"/>
      <c r="M297" s="883"/>
      <c r="N297" s="883"/>
      <c r="O297" s="884"/>
    </row>
    <row r="298" spans="2:15" ht="50.25" customHeight="1" x14ac:dyDescent="0.25">
      <c r="G298" s="880">
        <v>2017</v>
      </c>
      <c r="H298" s="34" t="s">
        <v>1180</v>
      </c>
      <c r="I298" s="555"/>
      <c r="J298" s="555"/>
      <c r="K298" s="33" t="e">
        <f t="shared" si="9"/>
        <v>#DIV/0!</v>
      </c>
      <c r="L298" s="860"/>
      <c r="M298" s="860"/>
      <c r="N298" s="860"/>
      <c r="O298" s="860"/>
    </row>
    <row r="299" spans="2:15" ht="57.75" customHeight="1" x14ac:dyDescent="0.25">
      <c r="G299" s="881"/>
      <c r="H299" s="34" t="s">
        <v>563</v>
      </c>
      <c r="I299" s="555"/>
      <c r="J299" s="555"/>
      <c r="K299" s="33" t="e">
        <f t="shared" si="9"/>
        <v>#DIV/0!</v>
      </c>
      <c r="L299" s="860"/>
      <c r="M299" s="860"/>
      <c r="N299" s="860"/>
      <c r="O299" s="860"/>
    </row>
    <row r="300" spans="2:15" ht="57" customHeight="1" x14ac:dyDescent="0.25">
      <c r="G300" s="881"/>
      <c r="H300" s="34" t="s">
        <v>564</v>
      </c>
      <c r="I300" s="555"/>
      <c r="J300" s="555"/>
      <c r="K300" s="33" t="e">
        <f t="shared" si="9"/>
        <v>#DIV/0!</v>
      </c>
      <c r="L300" s="860"/>
      <c r="M300" s="860"/>
      <c r="N300" s="860"/>
      <c r="O300" s="860"/>
    </row>
    <row r="301" spans="2:15" ht="24" customHeight="1" x14ac:dyDescent="0.25">
      <c r="G301" s="881"/>
      <c r="H301" s="34" t="s">
        <v>80</v>
      </c>
      <c r="I301" s="555"/>
      <c r="J301" s="555"/>
      <c r="K301" s="33" t="e">
        <f t="shared" si="9"/>
        <v>#DIV/0!</v>
      </c>
      <c r="L301" s="870"/>
      <c r="M301" s="870"/>
      <c r="N301" s="870"/>
      <c r="O301" s="870"/>
    </row>
    <row r="302" spans="2:15" ht="69.75" customHeight="1" x14ac:dyDescent="0.25">
      <c r="G302" s="881"/>
      <c r="H302" s="34" t="s">
        <v>565</v>
      </c>
      <c r="I302" s="555"/>
      <c r="J302" s="555"/>
      <c r="K302" s="33" t="e">
        <f t="shared" si="9"/>
        <v>#DIV/0!</v>
      </c>
      <c r="L302" s="860"/>
      <c r="M302" s="860"/>
      <c r="N302" s="860"/>
      <c r="O302" s="860"/>
    </row>
    <row r="303" spans="2:15" ht="17.5" x14ac:dyDescent="0.25">
      <c r="G303" s="882"/>
      <c r="H303" s="571" t="s">
        <v>81</v>
      </c>
      <c r="I303" s="35">
        <f>SUM(I298:I302)</f>
        <v>0</v>
      </c>
      <c r="J303" s="35">
        <f>SUM(J298:J302)</f>
        <v>0</v>
      </c>
      <c r="K303" s="33" t="e">
        <f t="shared" si="9"/>
        <v>#DIV/0!</v>
      </c>
      <c r="L303" s="883"/>
      <c r="M303" s="883"/>
      <c r="N303" s="883"/>
      <c r="O303" s="884"/>
    </row>
  </sheetData>
  <mergeCells count="253">
    <mergeCell ref="K29:K31"/>
    <mergeCell ref="K20:K22"/>
    <mergeCell ref="N29:N31"/>
    <mergeCell ref="O29:O31"/>
    <mergeCell ref="N35:N37"/>
    <mergeCell ref="O35:O37"/>
    <mergeCell ref="K32:K34"/>
    <mergeCell ref="N32:N34"/>
    <mergeCell ref="A129:C129"/>
    <mergeCell ref="O32:O34"/>
    <mergeCell ref="C35:C37"/>
    <mergeCell ref="D35:D37"/>
    <mergeCell ref="E35:E37"/>
    <mergeCell ref="F35:F37"/>
    <mergeCell ref="G35:I37"/>
    <mergeCell ref="J35:J37"/>
    <mergeCell ref="K35:K37"/>
    <mergeCell ref="C32:C34"/>
    <mergeCell ref="C29:C31"/>
    <mergeCell ref="D29:D31"/>
    <mergeCell ref="E29:E31"/>
    <mergeCell ref="F29:F31"/>
    <mergeCell ref="G29:I31"/>
    <mergeCell ref="A90:A104"/>
    <mergeCell ref="D32:D34"/>
    <mergeCell ref="E32:E34"/>
    <mergeCell ref="F32:F34"/>
    <mergeCell ref="G32:I34"/>
    <mergeCell ref="J32:J34"/>
    <mergeCell ref="D9:D10"/>
    <mergeCell ref="E9:E10"/>
    <mergeCell ref="F9:F10"/>
    <mergeCell ref="G9:I10"/>
    <mergeCell ref="J29:J31"/>
    <mergeCell ref="N9:N10"/>
    <mergeCell ref="A1:D1"/>
    <mergeCell ref="A2:O2"/>
    <mergeCell ref="A4:B8"/>
    <mergeCell ref="C4:C8"/>
    <mergeCell ref="D4:D8"/>
    <mergeCell ref="E4:E8"/>
    <mergeCell ref="F4:F8"/>
    <mergeCell ref="G4:I4"/>
    <mergeCell ref="C9:C10"/>
    <mergeCell ref="K4:K8"/>
    <mergeCell ref="L4:M4"/>
    <mergeCell ref="N4:N8"/>
    <mergeCell ref="O4:O8"/>
    <mergeCell ref="J4:J8"/>
    <mergeCell ref="J9:J10"/>
    <mergeCell ref="O9:O10"/>
    <mergeCell ref="K9:K10"/>
    <mergeCell ref="O11:O13"/>
    <mergeCell ref="N17:N19"/>
    <mergeCell ref="O17:O19"/>
    <mergeCell ref="C14:C16"/>
    <mergeCell ref="D14:D16"/>
    <mergeCell ref="E14:E16"/>
    <mergeCell ref="F14:F16"/>
    <mergeCell ref="G14:I16"/>
    <mergeCell ref="J14:J16"/>
    <mergeCell ref="K14:K16"/>
    <mergeCell ref="N14:N16"/>
    <mergeCell ref="C11:C13"/>
    <mergeCell ref="D11:D13"/>
    <mergeCell ref="E11:E13"/>
    <mergeCell ref="F11:F13"/>
    <mergeCell ref="G11:I13"/>
    <mergeCell ref="J11:J13"/>
    <mergeCell ref="K11:K13"/>
    <mergeCell ref="N11:N13"/>
    <mergeCell ref="N20:N22"/>
    <mergeCell ref="O14:O16"/>
    <mergeCell ref="C17:C19"/>
    <mergeCell ref="D17:D19"/>
    <mergeCell ref="E17:E19"/>
    <mergeCell ref="F17:F19"/>
    <mergeCell ref="G17:I19"/>
    <mergeCell ref="J17:J19"/>
    <mergeCell ref="J23:J25"/>
    <mergeCell ref="K23:K25"/>
    <mergeCell ref="K17:K19"/>
    <mergeCell ref="C20:C22"/>
    <mergeCell ref="D20:D22"/>
    <mergeCell ref="E20:E22"/>
    <mergeCell ref="F20:F22"/>
    <mergeCell ref="G20:I22"/>
    <mergeCell ref="J20:J22"/>
    <mergeCell ref="O26:O28"/>
    <mergeCell ref="A40:S40"/>
    <mergeCell ref="A43:A44"/>
    <mergeCell ref="A45:A59"/>
    <mergeCell ref="B45:B49"/>
    <mergeCell ref="B50:B54"/>
    <mergeCell ref="B55:B59"/>
    <mergeCell ref="A9:B28"/>
    <mergeCell ref="O20:O22"/>
    <mergeCell ref="C23:C25"/>
    <mergeCell ref="N23:N25"/>
    <mergeCell ref="O23:O25"/>
    <mergeCell ref="C26:C28"/>
    <mergeCell ref="D26:D28"/>
    <mergeCell ref="E26:E28"/>
    <mergeCell ref="F26:F28"/>
    <mergeCell ref="G26:I28"/>
    <mergeCell ref="J26:J28"/>
    <mergeCell ref="K26:K28"/>
    <mergeCell ref="N26:N28"/>
    <mergeCell ref="D23:D25"/>
    <mergeCell ref="E23:E25"/>
    <mergeCell ref="F23:F25"/>
    <mergeCell ref="G23:I25"/>
    <mergeCell ref="B100:B104"/>
    <mergeCell ref="A105:A119"/>
    <mergeCell ref="B105:B109"/>
    <mergeCell ref="B110:B114"/>
    <mergeCell ref="B115:B119"/>
    <mergeCell ref="A60:A74"/>
    <mergeCell ref="B60:B64"/>
    <mergeCell ref="B65:B69"/>
    <mergeCell ref="B70:B74"/>
    <mergeCell ref="A75:A89"/>
    <mergeCell ref="B75:B79"/>
    <mergeCell ref="B80:B84"/>
    <mergeCell ref="B85:B89"/>
    <mergeCell ref="B90:B94"/>
    <mergeCell ref="B95:B99"/>
    <mergeCell ref="I133:I134"/>
    <mergeCell ref="A122:O122"/>
    <mergeCell ref="A125:F125"/>
    <mergeCell ref="A126:F126"/>
    <mergeCell ref="A127:F127"/>
    <mergeCell ref="A128:F128"/>
    <mergeCell ref="A130:F130"/>
    <mergeCell ref="J133:L133"/>
    <mergeCell ref="M133:O133"/>
    <mergeCell ref="G135:G164"/>
    <mergeCell ref="H135:H139"/>
    <mergeCell ref="H140:H144"/>
    <mergeCell ref="H145:H149"/>
    <mergeCell ref="H150:H154"/>
    <mergeCell ref="H155:H159"/>
    <mergeCell ref="H160:H164"/>
    <mergeCell ref="A131:F131"/>
    <mergeCell ref="G133:G134"/>
    <mergeCell ref="H133:H134"/>
    <mergeCell ref="A166:O166"/>
    <mergeCell ref="A168:F168"/>
    <mergeCell ref="A169:F169"/>
    <mergeCell ref="A170:F170"/>
    <mergeCell ref="A171:F171"/>
    <mergeCell ref="A172:F172"/>
    <mergeCell ref="A173:F173"/>
    <mergeCell ref="A174:F174"/>
    <mergeCell ref="A175:F175"/>
    <mergeCell ref="F190:F191"/>
    <mergeCell ref="A195:F197"/>
    <mergeCell ref="D190:D191"/>
    <mergeCell ref="E190:E191"/>
    <mergeCell ref="A192:A194"/>
    <mergeCell ref="B193:B194"/>
    <mergeCell ref="A177:L177"/>
    <mergeCell ref="A178:A179"/>
    <mergeCell ref="A180:A182"/>
    <mergeCell ref="B181:B182"/>
    <mergeCell ref="C181:C182"/>
    <mergeCell ref="D181:D182"/>
    <mergeCell ref="E181:E182"/>
    <mergeCell ref="F181:F182"/>
    <mergeCell ref="A210:A211"/>
    <mergeCell ref="A212:A214"/>
    <mergeCell ref="B213:B214"/>
    <mergeCell ref="C213:C214"/>
    <mergeCell ref="D213:D214"/>
    <mergeCell ref="E213:E214"/>
    <mergeCell ref="A183:A185"/>
    <mergeCell ref="A186:A188"/>
    <mergeCell ref="A189:A191"/>
    <mergeCell ref="B190:B191"/>
    <mergeCell ref="C190:C191"/>
    <mergeCell ref="A209:L209"/>
    <mergeCell ref="C193:C194"/>
    <mergeCell ref="D193:D194"/>
    <mergeCell ref="E193:E194"/>
    <mergeCell ref="A204:C204"/>
    <mergeCell ref="A205:C205"/>
    <mergeCell ref="A206:C206"/>
    <mergeCell ref="A202:C202"/>
    <mergeCell ref="A203:C203"/>
    <mergeCell ref="F193:F194"/>
    <mergeCell ref="A199:D199"/>
    <mergeCell ref="A200:C200"/>
    <mergeCell ref="A201:C201"/>
    <mergeCell ref="F213:F214"/>
    <mergeCell ref="A215:A217"/>
    <mergeCell ref="A218:A220"/>
    <mergeCell ref="A221:A223"/>
    <mergeCell ref="B222:B223"/>
    <mergeCell ref="C222:C223"/>
    <mergeCell ref="D222:D223"/>
    <mergeCell ref="E222:E223"/>
    <mergeCell ref="F222:F223"/>
    <mergeCell ref="A243:A247"/>
    <mergeCell ref="A224:A226"/>
    <mergeCell ref="B225:B226"/>
    <mergeCell ref="C225:C226"/>
    <mergeCell ref="D225:D226"/>
    <mergeCell ref="E225:E226"/>
    <mergeCell ref="A231:O231"/>
    <mergeCell ref="A232:B232"/>
    <mergeCell ref="A233:A237"/>
    <mergeCell ref="A238:A242"/>
    <mergeCell ref="A227:F229"/>
    <mergeCell ref="F225:F226"/>
    <mergeCell ref="A275:O275"/>
    <mergeCell ref="A278:F278"/>
    <mergeCell ref="A279:F279"/>
    <mergeCell ref="A280:F280"/>
    <mergeCell ref="A281:F281"/>
    <mergeCell ref="A282:F282"/>
    <mergeCell ref="A248:A252"/>
    <mergeCell ref="A254:O254"/>
    <mergeCell ref="A256:B256"/>
    <mergeCell ref="A257:A261"/>
    <mergeCell ref="A262:A266"/>
    <mergeCell ref="A267:A271"/>
    <mergeCell ref="G289:H289"/>
    <mergeCell ref="L289:O289"/>
    <mergeCell ref="G290:H290"/>
    <mergeCell ref="L290:O290"/>
    <mergeCell ref="G291:H291"/>
    <mergeCell ref="L291:O291"/>
    <mergeCell ref="A283:F283"/>
    <mergeCell ref="A284:F284"/>
    <mergeCell ref="G286:H287"/>
    <mergeCell ref="I286:K286"/>
    <mergeCell ref="L286:O287"/>
    <mergeCell ref="G288:H288"/>
    <mergeCell ref="L288:O288"/>
    <mergeCell ref="G298:G303"/>
    <mergeCell ref="L298:O298"/>
    <mergeCell ref="L299:O299"/>
    <mergeCell ref="L300:O300"/>
    <mergeCell ref="L301:O301"/>
    <mergeCell ref="L302:O302"/>
    <mergeCell ref="L303:O303"/>
    <mergeCell ref="G292:G297"/>
    <mergeCell ref="L292:O292"/>
    <mergeCell ref="L293:O293"/>
    <mergeCell ref="L294:O294"/>
    <mergeCell ref="L295:O295"/>
    <mergeCell ref="L296:O296"/>
    <mergeCell ref="L297:O297"/>
  </mergeCells>
  <hyperlinks>
    <hyperlink ref="A275:N275" location="'Hoja 6. AA'!A4" display="'Hoja 6. AA'!A4" xr:uid="{00000000-0004-0000-2800-000000000000}"/>
    <hyperlink ref="A275:O275" location="'Hoja 11. TABLA DE CONTROL'!B41" display="'Hoja 11. TABLA DE CONTROL'!B41" xr:uid="{00000000-0004-0000-2800-000001000000}"/>
    <hyperlink ref="A166:O166" location="'Hoja 6. AA'!A1" display="'Hoja 6. AA'!A1" xr:uid="{00000000-0004-0000-2800-000002000000}"/>
    <hyperlink ref="D9:D10" location="'Hoja 6. AA'!D38" display="Tiempo promedio de trámite para la resolución de autorizaciones ambientales otorgadas por la corporación (Ver fila 38)" xr:uid="{00000000-0004-0000-2800-000003000000}"/>
    <hyperlink ref="D11:D13" location="'Hoja 6. AA'!A113" display="Porcentaje (%) de trámites resueltos en un tiempo igual o inferior a lo reglamentado en el SGC (Ver fila 72 )" xr:uid="{00000000-0004-0000-2800-000004000000}"/>
    <hyperlink ref="D14:D16" location="'Hoja 6. AA'!A156" display="Porcentaje de autorizaciones ambientales con seguimiento (Ver fila 125) en función de cantidad de autorizaciones" xr:uid="{00000000-0004-0000-2800-000005000000}"/>
    <hyperlink ref="D17:D19" location="'Hoja 6. AA'!A195" display="Porcentaje de autorizaciones ambientales con seguimiento (Ver fila 148) en funcion del volumen autorizado" xr:uid="{00000000-0004-0000-2800-000006000000}"/>
    <hyperlink ref="D14:D15" location="'Hoja 6. AA'!A156" display="Porcentaje de autorizaciones ambientales con seguimiento en función de cantidad de autorizaciones" xr:uid="{00000000-0004-0000-2800-000007000000}"/>
    <hyperlink ref="D20:D22" location="'Hoja 6. AA'!A237" display="Porcentaje de Procesos Sancionatorios Resueltos (Ver fila 167 )" xr:uid="{00000000-0004-0000-2800-000008000000}"/>
    <hyperlink ref="D23:D25" location="'Hoja 6. AA'!A237" display="IP: % de quejas y contravenciones ambientales atendidas. (Ver fila 190)" xr:uid="{00000000-0004-0000-2800-000009000000}"/>
    <hyperlink ref="D26:D28" location="'Hoja 6. AA'!A258" display="Porcentaje (%) de encuesta de satisfacción calificadas por los usuarios de trámites ambientales resueltos con una nota superior o igual a  cuatro (4,0) sobre cinco (5.0). (ver fila 211)" xr:uid="{00000000-0004-0000-2800-00000A000000}"/>
    <hyperlink ref="D29:D31" location="'Hoja 6. AA'!A258" display="Porcentaje (%) de encuesta de satisfacción calificadas por los usuarios de trámites ambientales resueltos con una nota superior o igual a  cuatro (4,0) sobre cinco (5.0). (ver fila 211)" xr:uid="{00000000-0004-0000-2800-00000B000000}"/>
    <hyperlink ref="D32:D34" location="'Hoja 6. AA'!A258" display="Porcentaje (%) de encuesta de satisfacción calificadas por los usuarios de trámites ambientales resueltos con una nota superior o igual a  cuatro (4,0) sobre cinco (5.0). (ver fila 211)" xr:uid="{00000000-0004-0000-2800-00000C000000}"/>
    <hyperlink ref="D35:D37" location="'Hoja 2. DI'!A142" display="ESTABLECER MECANISMOS VIRTUALES DE INTERACCIÓN CONSTANTE CON LA CIUDADANÍA, A TRAVÉS DE FOROS EN EL SITIO WEB DE CORPOURABA" xr:uid="{00000000-0004-0000-2800-00000D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06
Hoja 6. Indicadores Proceso Aplicación de la Autoridad Ambiental
Página &amp;P de &amp;N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rgb="FF009900"/>
  </sheetPr>
  <dimension ref="A1:S305"/>
  <sheetViews>
    <sheetView showGridLines="0" topLeftCell="A279" zoomScale="55" zoomScaleNormal="55" workbookViewId="0">
      <selection activeCell="G286" sqref="G286:K305"/>
    </sheetView>
  </sheetViews>
  <sheetFormatPr baseColWidth="10" defaultRowHeight="13.5" x14ac:dyDescent="0.25"/>
  <cols>
    <col min="1" max="1" width="24.90625" style="2" customWidth="1"/>
    <col min="2" max="2" width="35.54296875" style="2" customWidth="1"/>
    <col min="3" max="3" width="18.6328125" style="2" customWidth="1"/>
    <col min="4" max="4" width="18.36328125" style="308" customWidth="1"/>
    <col min="5" max="5" width="29.90625" style="2" customWidth="1"/>
    <col min="6" max="6" width="38.453125" style="2" customWidth="1"/>
    <col min="7" max="7" width="41.08984375" style="2" customWidth="1"/>
    <col min="8" max="8" width="31.453125" style="2" customWidth="1"/>
    <col min="9" max="9" width="30.08984375" style="2" customWidth="1"/>
    <col min="10" max="10" width="23.90625" style="2" customWidth="1"/>
    <col min="11" max="11" width="26.6328125" style="2" customWidth="1"/>
    <col min="12" max="12" width="25.36328125" style="2" customWidth="1"/>
    <col min="13" max="13" width="28.90625" style="2" customWidth="1"/>
    <col min="14" max="14" width="24.08984375" style="2" customWidth="1"/>
    <col min="15" max="15" width="35.90625" style="2" customWidth="1"/>
    <col min="16" max="16" width="27.36328125" style="2" customWidth="1"/>
    <col min="17" max="17" width="31.08984375" style="2" customWidth="1"/>
    <col min="18" max="18" width="41.90625" style="2" customWidth="1"/>
    <col min="19" max="19" width="77.90625" style="2" customWidth="1"/>
    <col min="20" max="20" width="20.453125" style="2" customWidth="1"/>
    <col min="21" max="21" width="49.453125" style="2" customWidth="1"/>
    <col min="22" max="256" width="11.453125" style="2"/>
    <col min="257" max="257" width="24.90625" style="2" customWidth="1"/>
    <col min="258" max="258" width="35.54296875" style="2" customWidth="1"/>
    <col min="259" max="259" width="18.6328125" style="2" customWidth="1"/>
    <col min="260" max="260" width="18.36328125" style="2" customWidth="1"/>
    <col min="261" max="261" width="29.90625" style="2" customWidth="1"/>
    <col min="262" max="262" width="38.453125" style="2" customWidth="1"/>
    <col min="263" max="263" width="41.08984375" style="2" customWidth="1"/>
    <col min="264" max="264" width="31.453125" style="2" customWidth="1"/>
    <col min="265" max="265" width="30.08984375" style="2" customWidth="1"/>
    <col min="266" max="266" width="23.90625" style="2" customWidth="1"/>
    <col min="267" max="267" width="26.6328125" style="2" customWidth="1"/>
    <col min="268" max="268" width="25.36328125" style="2" customWidth="1"/>
    <col min="269" max="269" width="28.90625" style="2" customWidth="1"/>
    <col min="270" max="270" width="24.08984375" style="2" customWidth="1"/>
    <col min="271" max="271" width="35.90625" style="2" customWidth="1"/>
    <col min="272" max="272" width="27.36328125" style="2" customWidth="1"/>
    <col min="273" max="273" width="31.08984375" style="2" customWidth="1"/>
    <col min="274" max="274" width="41.90625" style="2" customWidth="1"/>
    <col min="275" max="275" width="77.90625" style="2" customWidth="1"/>
    <col min="276" max="276" width="20.453125" style="2" customWidth="1"/>
    <col min="277" max="277" width="49.453125" style="2" customWidth="1"/>
    <col min="278" max="512" width="11.453125" style="2"/>
    <col min="513" max="513" width="24.90625" style="2" customWidth="1"/>
    <col min="514" max="514" width="35.54296875" style="2" customWidth="1"/>
    <col min="515" max="515" width="18.6328125" style="2" customWidth="1"/>
    <col min="516" max="516" width="18.36328125" style="2" customWidth="1"/>
    <col min="517" max="517" width="29.90625" style="2" customWidth="1"/>
    <col min="518" max="518" width="38.453125" style="2" customWidth="1"/>
    <col min="519" max="519" width="41.08984375" style="2" customWidth="1"/>
    <col min="520" max="520" width="31.453125" style="2" customWidth="1"/>
    <col min="521" max="521" width="30.08984375" style="2" customWidth="1"/>
    <col min="522" max="522" width="23.90625" style="2" customWidth="1"/>
    <col min="523" max="523" width="26.6328125" style="2" customWidth="1"/>
    <col min="524" max="524" width="25.36328125" style="2" customWidth="1"/>
    <col min="525" max="525" width="28.90625" style="2" customWidth="1"/>
    <col min="526" max="526" width="24.08984375" style="2" customWidth="1"/>
    <col min="527" max="527" width="35.90625" style="2" customWidth="1"/>
    <col min="528" max="528" width="27.36328125" style="2" customWidth="1"/>
    <col min="529" max="529" width="31.08984375" style="2" customWidth="1"/>
    <col min="530" max="530" width="41.90625" style="2" customWidth="1"/>
    <col min="531" max="531" width="77.90625" style="2" customWidth="1"/>
    <col min="532" max="532" width="20.453125" style="2" customWidth="1"/>
    <col min="533" max="533" width="49.453125" style="2" customWidth="1"/>
    <col min="534" max="768" width="11.453125" style="2"/>
    <col min="769" max="769" width="24.90625" style="2" customWidth="1"/>
    <col min="770" max="770" width="35.54296875" style="2" customWidth="1"/>
    <col min="771" max="771" width="18.6328125" style="2" customWidth="1"/>
    <col min="772" max="772" width="18.36328125" style="2" customWidth="1"/>
    <col min="773" max="773" width="29.90625" style="2" customWidth="1"/>
    <col min="774" max="774" width="38.453125" style="2" customWidth="1"/>
    <col min="775" max="775" width="41.08984375" style="2" customWidth="1"/>
    <col min="776" max="776" width="31.453125" style="2" customWidth="1"/>
    <col min="777" max="777" width="30.08984375" style="2" customWidth="1"/>
    <col min="778" max="778" width="23.90625" style="2" customWidth="1"/>
    <col min="779" max="779" width="26.6328125" style="2" customWidth="1"/>
    <col min="780" max="780" width="25.36328125" style="2" customWidth="1"/>
    <col min="781" max="781" width="28.90625" style="2" customWidth="1"/>
    <col min="782" max="782" width="24.08984375" style="2" customWidth="1"/>
    <col min="783" max="783" width="35.90625" style="2" customWidth="1"/>
    <col min="784" max="784" width="27.36328125" style="2" customWidth="1"/>
    <col min="785" max="785" width="31.08984375" style="2" customWidth="1"/>
    <col min="786" max="786" width="41.90625" style="2" customWidth="1"/>
    <col min="787" max="787" width="77.90625" style="2" customWidth="1"/>
    <col min="788" max="788" width="20.453125" style="2" customWidth="1"/>
    <col min="789" max="789" width="49.453125" style="2" customWidth="1"/>
    <col min="790" max="1024" width="11.453125" style="2"/>
    <col min="1025" max="1025" width="24.90625" style="2" customWidth="1"/>
    <col min="1026" max="1026" width="35.54296875" style="2" customWidth="1"/>
    <col min="1027" max="1027" width="18.6328125" style="2" customWidth="1"/>
    <col min="1028" max="1028" width="18.36328125" style="2" customWidth="1"/>
    <col min="1029" max="1029" width="29.90625" style="2" customWidth="1"/>
    <col min="1030" max="1030" width="38.453125" style="2" customWidth="1"/>
    <col min="1031" max="1031" width="41.08984375" style="2" customWidth="1"/>
    <col min="1032" max="1032" width="31.453125" style="2" customWidth="1"/>
    <col min="1033" max="1033" width="30.08984375" style="2" customWidth="1"/>
    <col min="1034" max="1034" width="23.90625" style="2" customWidth="1"/>
    <col min="1035" max="1035" width="26.6328125" style="2" customWidth="1"/>
    <col min="1036" max="1036" width="25.36328125" style="2" customWidth="1"/>
    <col min="1037" max="1037" width="28.90625" style="2" customWidth="1"/>
    <col min="1038" max="1038" width="24.08984375" style="2" customWidth="1"/>
    <col min="1039" max="1039" width="35.90625" style="2" customWidth="1"/>
    <col min="1040" max="1040" width="27.36328125" style="2" customWidth="1"/>
    <col min="1041" max="1041" width="31.08984375" style="2" customWidth="1"/>
    <col min="1042" max="1042" width="41.90625" style="2" customWidth="1"/>
    <col min="1043" max="1043" width="77.90625" style="2" customWidth="1"/>
    <col min="1044" max="1044" width="20.453125" style="2" customWidth="1"/>
    <col min="1045" max="1045" width="49.453125" style="2" customWidth="1"/>
    <col min="1046" max="1280" width="11.453125" style="2"/>
    <col min="1281" max="1281" width="24.90625" style="2" customWidth="1"/>
    <col min="1282" max="1282" width="35.54296875" style="2" customWidth="1"/>
    <col min="1283" max="1283" width="18.6328125" style="2" customWidth="1"/>
    <col min="1284" max="1284" width="18.36328125" style="2" customWidth="1"/>
    <col min="1285" max="1285" width="29.90625" style="2" customWidth="1"/>
    <col min="1286" max="1286" width="38.453125" style="2" customWidth="1"/>
    <col min="1287" max="1287" width="41.08984375" style="2" customWidth="1"/>
    <col min="1288" max="1288" width="31.453125" style="2" customWidth="1"/>
    <col min="1289" max="1289" width="30.08984375" style="2" customWidth="1"/>
    <col min="1290" max="1290" width="23.90625" style="2" customWidth="1"/>
    <col min="1291" max="1291" width="26.6328125" style="2" customWidth="1"/>
    <col min="1292" max="1292" width="25.36328125" style="2" customWidth="1"/>
    <col min="1293" max="1293" width="28.90625" style="2" customWidth="1"/>
    <col min="1294" max="1294" width="24.08984375" style="2" customWidth="1"/>
    <col min="1295" max="1295" width="35.90625" style="2" customWidth="1"/>
    <col min="1296" max="1296" width="27.36328125" style="2" customWidth="1"/>
    <col min="1297" max="1297" width="31.08984375" style="2" customWidth="1"/>
    <col min="1298" max="1298" width="41.90625" style="2" customWidth="1"/>
    <col min="1299" max="1299" width="77.90625" style="2" customWidth="1"/>
    <col min="1300" max="1300" width="20.453125" style="2" customWidth="1"/>
    <col min="1301" max="1301" width="49.453125" style="2" customWidth="1"/>
    <col min="1302" max="1536" width="11.453125" style="2"/>
    <col min="1537" max="1537" width="24.90625" style="2" customWidth="1"/>
    <col min="1538" max="1538" width="35.54296875" style="2" customWidth="1"/>
    <col min="1539" max="1539" width="18.6328125" style="2" customWidth="1"/>
    <col min="1540" max="1540" width="18.36328125" style="2" customWidth="1"/>
    <col min="1541" max="1541" width="29.90625" style="2" customWidth="1"/>
    <col min="1542" max="1542" width="38.453125" style="2" customWidth="1"/>
    <col min="1543" max="1543" width="41.08984375" style="2" customWidth="1"/>
    <col min="1544" max="1544" width="31.453125" style="2" customWidth="1"/>
    <col min="1545" max="1545" width="30.08984375" style="2" customWidth="1"/>
    <col min="1546" max="1546" width="23.90625" style="2" customWidth="1"/>
    <col min="1547" max="1547" width="26.6328125" style="2" customWidth="1"/>
    <col min="1548" max="1548" width="25.36328125" style="2" customWidth="1"/>
    <col min="1549" max="1549" width="28.90625" style="2" customWidth="1"/>
    <col min="1550" max="1550" width="24.08984375" style="2" customWidth="1"/>
    <col min="1551" max="1551" width="35.90625" style="2" customWidth="1"/>
    <col min="1552" max="1552" width="27.36328125" style="2" customWidth="1"/>
    <col min="1553" max="1553" width="31.08984375" style="2" customWidth="1"/>
    <col min="1554" max="1554" width="41.90625" style="2" customWidth="1"/>
    <col min="1555" max="1555" width="77.90625" style="2" customWidth="1"/>
    <col min="1556" max="1556" width="20.453125" style="2" customWidth="1"/>
    <col min="1557" max="1557" width="49.453125" style="2" customWidth="1"/>
    <col min="1558" max="1792" width="11.453125" style="2"/>
    <col min="1793" max="1793" width="24.90625" style="2" customWidth="1"/>
    <col min="1794" max="1794" width="35.54296875" style="2" customWidth="1"/>
    <col min="1795" max="1795" width="18.6328125" style="2" customWidth="1"/>
    <col min="1796" max="1796" width="18.36328125" style="2" customWidth="1"/>
    <col min="1797" max="1797" width="29.90625" style="2" customWidth="1"/>
    <col min="1798" max="1798" width="38.453125" style="2" customWidth="1"/>
    <col min="1799" max="1799" width="41.08984375" style="2" customWidth="1"/>
    <col min="1800" max="1800" width="31.453125" style="2" customWidth="1"/>
    <col min="1801" max="1801" width="30.08984375" style="2" customWidth="1"/>
    <col min="1802" max="1802" width="23.90625" style="2" customWidth="1"/>
    <col min="1803" max="1803" width="26.6328125" style="2" customWidth="1"/>
    <col min="1804" max="1804" width="25.36328125" style="2" customWidth="1"/>
    <col min="1805" max="1805" width="28.90625" style="2" customWidth="1"/>
    <col min="1806" max="1806" width="24.08984375" style="2" customWidth="1"/>
    <col min="1807" max="1807" width="35.90625" style="2" customWidth="1"/>
    <col min="1808" max="1808" width="27.36328125" style="2" customWidth="1"/>
    <col min="1809" max="1809" width="31.08984375" style="2" customWidth="1"/>
    <col min="1810" max="1810" width="41.90625" style="2" customWidth="1"/>
    <col min="1811" max="1811" width="77.90625" style="2" customWidth="1"/>
    <col min="1812" max="1812" width="20.453125" style="2" customWidth="1"/>
    <col min="1813" max="1813" width="49.453125" style="2" customWidth="1"/>
    <col min="1814" max="2048" width="11.453125" style="2"/>
    <col min="2049" max="2049" width="24.90625" style="2" customWidth="1"/>
    <col min="2050" max="2050" width="35.54296875" style="2" customWidth="1"/>
    <col min="2051" max="2051" width="18.6328125" style="2" customWidth="1"/>
    <col min="2052" max="2052" width="18.36328125" style="2" customWidth="1"/>
    <col min="2053" max="2053" width="29.90625" style="2" customWidth="1"/>
    <col min="2054" max="2054" width="38.453125" style="2" customWidth="1"/>
    <col min="2055" max="2055" width="41.08984375" style="2" customWidth="1"/>
    <col min="2056" max="2056" width="31.453125" style="2" customWidth="1"/>
    <col min="2057" max="2057" width="30.08984375" style="2" customWidth="1"/>
    <col min="2058" max="2058" width="23.90625" style="2" customWidth="1"/>
    <col min="2059" max="2059" width="26.6328125" style="2" customWidth="1"/>
    <col min="2060" max="2060" width="25.36328125" style="2" customWidth="1"/>
    <col min="2061" max="2061" width="28.90625" style="2" customWidth="1"/>
    <col min="2062" max="2062" width="24.08984375" style="2" customWidth="1"/>
    <col min="2063" max="2063" width="35.90625" style="2" customWidth="1"/>
    <col min="2064" max="2064" width="27.36328125" style="2" customWidth="1"/>
    <col min="2065" max="2065" width="31.08984375" style="2" customWidth="1"/>
    <col min="2066" max="2066" width="41.90625" style="2" customWidth="1"/>
    <col min="2067" max="2067" width="77.90625" style="2" customWidth="1"/>
    <col min="2068" max="2068" width="20.453125" style="2" customWidth="1"/>
    <col min="2069" max="2069" width="49.453125" style="2" customWidth="1"/>
    <col min="2070" max="2304" width="11.453125" style="2"/>
    <col min="2305" max="2305" width="24.90625" style="2" customWidth="1"/>
    <col min="2306" max="2306" width="35.54296875" style="2" customWidth="1"/>
    <col min="2307" max="2307" width="18.6328125" style="2" customWidth="1"/>
    <col min="2308" max="2308" width="18.36328125" style="2" customWidth="1"/>
    <col min="2309" max="2309" width="29.90625" style="2" customWidth="1"/>
    <col min="2310" max="2310" width="38.453125" style="2" customWidth="1"/>
    <col min="2311" max="2311" width="41.08984375" style="2" customWidth="1"/>
    <col min="2312" max="2312" width="31.453125" style="2" customWidth="1"/>
    <col min="2313" max="2313" width="30.08984375" style="2" customWidth="1"/>
    <col min="2314" max="2314" width="23.90625" style="2" customWidth="1"/>
    <col min="2315" max="2315" width="26.6328125" style="2" customWidth="1"/>
    <col min="2316" max="2316" width="25.36328125" style="2" customWidth="1"/>
    <col min="2317" max="2317" width="28.90625" style="2" customWidth="1"/>
    <col min="2318" max="2318" width="24.08984375" style="2" customWidth="1"/>
    <col min="2319" max="2319" width="35.90625" style="2" customWidth="1"/>
    <col min="2320" max="2320" width="27.36328125" style="2" customWidth="1"/>
    <col min="2321" max="2321" width="31.08984375" style="2" customWidth="1"/>
    <col min="2322" max="2322" width="41.90625" style="2" customWidth="1"/>
    <col min="2323" max="2323" width="77.90625" style="2" customWidth="1"/>
    <col min="2324" max="2324" width="20.453125" style="2" customWidth="1"/>
    <col min="2325" max="2325" width="49.453125" style="2" customWidth="1"/>
    <col min="2326" max="2560" width="11.453125" style="2"/>
    <col min="2561" max="2561" width="24.90625" style="2" customWidth="1"/>
    <col min="2562" max="2562" width="35.54296875" style="2" customWidth="1"/>
    <col min="2563" max="2563" width="18.6328125" style="2" customWidth="1"/>
    <col min="2564" max="2564" width="18.36328125" style="2" customWidth="1"/>
    <col min="2565" max="2565" width="29.90625" style="2" customWidth="1"/>
    <col min="2566" max="2566" width="38.453125" style="2" customWidth="1"/>
    <col min="2567" max="2567" width="41.08984375" style="2" customWidth="1"/>
    <col min="2568" max="2568" width="31.453125" style="2" customWidth="1"/>
    <col min="2569" max="2569" width="30.08984375" style="2" customWidth="1"/>
    <col min="2570" max="2570" width="23.90625" style="2" customWidth="1"/>
    <col min="2571" max="2571" width="26.6328125" style="2" customWidth="1"/>
    <col min="2572" max="2572" width="25.36328125" style="2" customWidth="1"/>
    <col min="2573" max="2573" width="28.90625" style="2" customWidth="1"/>
    <col min="2574" max="2574" width="24.08984375" style="2" customWidth="1"/>
    <col min="2575" max="2575" width="35.90625" style="2" customWidth="1"/>
    <col min="2576" max="2576" width="27.36328125" style="2" customWidth="1"/>
    <col min="2577" max="2577" width="31.08984375" style="2" customWidth="1"/>
    <col min="2578" max="2578" width="41.90625" style="2" customWidth="1"/>
    <col min="2579" max="2579" width="77.90625" style="2" customWidth="1"/>
    <col min="2580" max="2580" width="20.453125" style="2" customWidth="1"/>
    <col min="2581" max="2581" width="49.453125" style="2" customWidth="1"/>
    <col min="2582" max="2816" width="11.453125" style="2"/>
    <col min="2817" max="2817" width="24.90625" style="2" customWidth="1"/>
    <col min="2818" max="2818" width="35.54296875" style="2" customWidth="1"/>
    <col min="2819" max="2819" width="18.6328125" style="2" customWidth="1"/>
    <col min="2820" max="2820" width="18.36328125" style="2" customWidth="1"/>
    <col min="2821" max="2821" width="29.90625" style="2" customWidth="1"/>
    <col min="2822" max="2822" width="38.453125" style="2" customWidth="1"/>
    <col min="2823" max="2823" width="41.08984375" style="2" customWidth="1"/>
    <col min="2824" max="2824" width="31.453125" style="2" customWidth="1"/>
    <col min="2825" max="2825" width="30.08984375" style="2" customWidth="1"/>
    <col min="2826" max="2826" width="23.90625" style="2" customWidth="1"/>
    <col min="2827" max="2827" width="26.6328125" style="2" customWidth="1"/>
    <col min="2828" max="2828" width="25.36328125" style="2" customWidth="1"/>
    <col min="2829" max="2829" width="28.90625" style="2" customWidth="1"/>
    <col min="2830" max="2830" width="24.08984375" style="2" customWidth="1"/>
    <col min="2831" max="2831" width="35.90625" style="2" customWidth="1"/>
    <col min="2832" max="2832" width="27.36328125" style="2" customWidth="1"/>
    <col min="2833" max="2833" width="31.08984375" style="2" customWidth="1"/>
    <col min="2834" max="2834" width="41.90625" style="2" customWidth="1"/>
    <col min="2835" max="2835" width="77.90625" style="2" customWidth="1"/>
    <col min="2836" max="2836" width="20.453125" style="2" customWidth="1"/>
    <col min="2837" max="2837" width="49.453125" style="2" customWidth="1"/>
    <col min="2838" max="3072" width="11.453125" style="2"/>
    <col min="3073" max="3073" width="24.90625" style="2" customWidth="1"/>
    <col min="3074" max="3074" width="35.54296875" style="2" customWidth="1"/>
    <col min="3075" max="3075" width="18.6328125" style="2" customWidth="1"/>
    <col min="3076" max="3076" width="18.36328125" style="2" customWidth="1"/>
    <col min="3077" max="3077" width="29.90625" style="2" customWidth="1"/>
    <col min="3078" max="3078" width="38.453125" style="2" customWidth="1"/>
    <col min="3079" max="3079" width="41.08984375" style="2" customWidth="1"/>
    <col min="3080" max="3080" width="31.453125" style="2" customWidth="1"/>
    <col min="3081" max="3081" width="30.08984375" style="2" customWidth="1"/>
    <col min="3082" max="3082" width="23.90625" style="2" customWidth="1"/>
    <col min="3083" max="3083" width="26.6328125" style="2" customWidth="1"/>
    <col min="3084" max="3084" width="25.36328125" style="2" customWidth="1"/>
    <col min="3085" max="3085" width="28.90625" style="2" customWidth="1"/>
    <col min="3086" max="3086" width="24.08984375" style="2" customWidth="1"/>
    <col min="3087" max="3087" width="35.90625" style="2" customWidth="1"/>
    <col min="3088" max="3088" width="27.36328125" style="2" customWidth="1"/>
    <col min="3089" max="3089" width="31.08984375" style="2" customWidth="1"/>
    <col min="3090" max="3090" width="41.90625" style="2" customWidth="1"/>
    <col min="3091" max="3091" width="77.90625" style="2" customWidth="1"/>
    <col min="3092" max="3092" width="20.453125" style="2" customWidth="1"/>
    <col min="3093" max="3093" width="49.453125" style="2" customWidth="1"/>
    <col min="3094" max="3328" width="11.453125" style="2"/>
    <col min="3329" max="3329" width="24.90625" style="2" customWidth="1"/>
    <col min="3330" max="3330" width="35.54296875" style="2" customWidth="1"/>
    <col min="3331" max="3331" width="18.6328125" style="2" customWidth="1"/>
    <col min="3332" max="3332" width="18.36328125" style="2" customWidth="1"/>
    <col min="3333" max="3333" width="29.90625" style="2" customWidth="1"/>
    <col min="3334" max="3334" width="38.453125" style="2" customWidth="1"/>
    <col min="3335" max="3335" width="41.08984375" style="2" customWidth="1"/>
    <col min="3336" max="3336" width="31.453125" style="2" customWidth="1"/>
    <col min="3337" max="3337" width="30.08984375" style="2" customWidth="1"/>
    <col min="3338" max="3338" width="23.90625" style="2" customWidth="1"/>
    <col min="3339" max="3339" width="26.6328125" style="2" customWidth="1"/>
    <col min="3340" max="3340" width="25.36328125" style="2" customWidth="1"/>
    <col min="3341" max="3341" width="28.90625" style="2" customWidth="1"/>
    <col min="3342" max="3342" width="24.08984375" style="2" customWidth="1"/>
    <col min="3343" max="3343" width="35.90625" style="2" customWidth="1"/>
    <col min="3344" max="3344" width="27.36328125" style="2" customWidth="1"/>
    <col min="3345" max="3345" width="31.08984375" style="2" customWidth="1"/>
    <col min="3346" max="3346" width="41.90625" style="2" customWidth="1"/>
    <col min="3347" max="3347" width="77.90625" style="2" customWidth="1"/>
    <col min="3348" max="3348" width="20.453125" style="2" customWidth="1"/>
    <col min="3349" max="3349" width="49.453125" style="2" customWidth="1"/>
    <col min="3350" max="3584" width="11.453125" style="2"/>
    <col min="3585" max="3585" width="24.90625" style="2" customWidth="1"/>
    <col min="3586" max="3586" width="35.54296875" style="2" customWidth="1"/>
    <col min="3587" max="3587" width="18.6328125" style="2" customWidth="1"/>
    <col min="3588" max="3588" width="18.36328125" style="2" customWidth="1"/>
    <col min="3589" max="3589" width="29.90625" style="2" customWidth="1"/>
    <col min="3590" max="3590" width="38.453125" style="2" customWidth="1"/>
    <col min="3591" max="3591" width="41.08984375" style="2" customWidth="1"/>
    <col min="3592" max="3592" width="31.453125" style="2" customWidth="1"/>
    <col min="3593" max="3593" width="30.08984375" style="2" customWidth="1"/>
    <col min="3594" max="3594" width="23.90625" style="2" customWidth="1"/>
    <col min="3595" max="3595" width="26.6328125" style="2" customWidth="1"/>
    <col min="3596" max="3596" width="25.36328125" style="2" customWidth="1"/>
    <col min="3597" max="3597" width="28.90625" style="2" customWidth="1"/>
    <col min="3598" max="3598" width="24.08984375" style="2" customWidth="1"/>
    <col min="3599" max="3599" width="35.90625" style="2" customWidth="1"/>
    <col min="3600" max="3600" width="27.36328125" style="2" customWidth="1"/>
    <col min="3601" max="3601" width="31.08984375" style="2" customWidth="1"/>
    <col min="3602" max="3602" width="41.90625" style="2" customWidth="1"/>
    <col min="3603" max="3603" width="77.90625" style="2" customWidth="1"/>
    <col min="3604" max="3604" width="20.453125" style="2" customWidth="1"/>
    <col min="3605" max="3605" width="49.453125" style="2" customWidth="1"/>
    <col min="3606" max="3840" width="11.453125" style="2"/>
    <col min="3841" max="3841" width="24.90625" style="2" customWidth="1"/>
    <col min="3842" max="3842" width="35.54296875" style="2" customWidth="1"/>
    <col min="3843" max="3843" width="18.6328125" style="2" customWidth="1"/>
    <col min="3844" max="3844" width="18.36328125" style="2" customWidth="1"/>
    <col min="3845" max="3845" width="29.90625" style="2" customWidth="1"/>
    <col min="3846" max="3846" width="38.453125" style="2" customWidth="1"/>
    <col min="3847" max="3847" width="41.08984375" style="2" customWidth="1"/>
    <col min="3848" max="3848" width="31.453125" style="2" customWidth="1"/>
    <col min="3849" max="3849" width="30.08984375" style="2" customWidth="1"/>
    <col min="3850" max="3850" width="23.90625" style="2" customWidth="1"/>
    <col min="3851" max="3851" width="26.6328125" style="2" customWidth="1"/>
    <col min="3852" max="3852" width="25.36328125" style="2" customWidth="1"/>
    <col min="3853" max="3853" width="28.90625" style="2" customWidth="1"/>
    <col min="3854" max="3854" width="24.08984375" style="2" customWidth="1"/>
    <col min="3855" max="3855" width="35.90625" style="2" customWidth="1"/>
    <col min="3856" max="3856" width="27.36328125" style="2" customWidth="1"/>
    <col min="3857" max="3857" width="31.08984375" style="2" customWidth="1"/>
    <col min="3858" max="3858" width="41.90625" style="2" customWidth="1"/>
    <col min="3859" max="3859" width="77.90625" style="2" customWidth="1"/>
    <col min="3860" max="3860" width="20.453125" style="2" customWidth="1"/>
    <col min="3861" max="3861" width="49.453125" style="2" customWidth="1"/>
    <col min="3862" max="4096" width="11.453125" style="2"/>
    <col min="4097" max="4097" width="24.90625" style="2" customWidth="1"/>
    <col min="4098" max="4098" width="35.54296875" style="2" customWidth="1"/>
    <col min="4099" max="4099" width="18.6328125" style="2" customWidth="1"/>
    <col min="4100" max="4100" width="18.36328125" style="2" customWidth="1"/>
    <col min="4101" max="4101" width="29.90625" style="2" customWidth="1"/>
    <col min="4102" max="4102" width="38.453125" style="2" customWidth="1"/>
    <col min="4103" max="4103" width="41.08984375" style="2" customWidth="1"/>
    <col min="4104" max="4104" width="31.453125" style="2" customWidth="1"/>
    <col min="4105" max="4105" width="30.08984375" style="2" customWidth="1"/>
    <col min="4106" max="4106" width="23.90625" style="2" customWidth="1"/>
    <col min="4107" max="4107" width="26.6328125" style="2" customWidth="1"/>
    <col min="4108" max="4108" width="25.36328125" style="2" customWidth="1"/>
    <col min="4109" max="4109" width="28.90625" style="2" customWidth="1"/>
    <col min="4110" max="4110" width="24.08984375" style="2" customWidth="1"/>
    <col min="4111" max="4111" width="35.90625" style="2" customWidth="1"/>
    <col min="4112" max="4112" width="27.36328125" style="2" customWidth="1"/>
    <col min="4113" max="4113" width="31.08984375" style="2" customWidth="1"/>
    <col min="4114" max="4114" width="41.90625" style="2" customWidth="1"/>
    <col min="4115" max="4115" width="77.90625" style="2" customWidth="1"/>
    <col min="4116" max="4116" width="20.453125" style="2" customWidth="1"/>
    <col min="4117" max="4117" width="49.453125" style="2" customWidth="1"/>
    <col min="4118" max="4352" width="11.453125" style="2"/>
    <col min="4353" max="4353" width="24.90625" style="2" customWidth="1"/>
    <col min="4354" max="4354" width="35.54296875" style="2" customWidth="1"/>
    <col min="4355" max="4355" width="18.6328125" style="2" customWidth="1"/>
    <col min="4356" max="4356" width="18.36328125" style="2" customWidth="1"/>
    <col min="4357" max="4357" width="29.90625" style="2" customWidth="1"/>
    <col min="4358" max="4358" width="38.453125" style="2" customWidth="1"/>
    <col min="4359" max="4359" width="41.08984375" style="2" customWidth="1"/>
    <col min="4360" max="4360" width="31.453125" style="2" customWidth="1"/>
    <col min="4361" max="4361" width="30.08984375" style="2" customWidth="1"/>
    <col min="4362" max="4362" width="23.90625" style="2" customWidth="1"/>
    <col min="4363" max="4363" width="26.6328125" style="2" customWidth="1"/>
    <col min="4364" max="4364" width="25.36328125" style="2" customWidth="1"/>
    <col min="4365" max="4365" width="28.90625" style="2" customWidth="1"/>
    <col min="4366" max="4366" width="24.08984375" style="2" customWidth="1"/>
    <col min="4367" max="4367" width="35.90625" style="2" customWidth="1"/>
    <col min="4368" max="4368" width="27.36328125" style="2" customWidth="1"/>
    <col min="4369" max="4369" width="31.08984375" style="2" customWidth="1"/>
    <col min="4370" max="4370" width="41.90625" style="2" customWidth="1"/>
    <col min="4371" max="4371" width="77.90625" style="2" customWidth="1"/>
    <col min="4372" max="4372" width="20.453125" style="2" customWidth="1"/>
    <col min="4373" max="4373" width="49.453125" style="2" customWidth="1"/>
    <col min="4374" max="4608" width="11.453125" style="2"/>
    <col min="4609" max="4609" width="24.90625" style="2" customWidth="1"/>
    <col min="4610" max="4610" width="35.54296875" style="2" customWidth="1"/>
    <col min="4611" max="4611" width="18.6328125" style="2" customWidth="1"/>
    <col min="4612" max="4612" width="18.36328125" style="2" customWidth="1"/>
    <col min="4613" max="4613" width="29.90625" style="2" customWidth="1"/>
    <col min="4614" max="4614" width="38.453125" style="2" customWidth="1"/>
    <col min="4615" max="4615" width="41.08984375" style="2" customWidth="1"/>
    <col min="4616" max="4616" width="31.453125" style="2" customWidth="1"/>
    <col min="4617" max="4617" width="30.08984375" style="2" customWidth="1"/>
    <col min="4618" max="4618" width="23.90625" style="2" customWidth="1"/>
    <col min="4619" max="4619" width="26.6328125" style="2" customWidth="1"/>
    <col min="4620" max="4620" width="25.36328125" style="2" customWidth="1"/>
    <col min="4621" max="4621" width="28.90625" style="2" customWidth="1"/>
    <col min="4622" max="4622" width="24.08984375" style="2" customWidth="1"/>
    <col min="4623" max="4623" width="35.90625" style="2" customWidth="1"/>
    <col min="4624" max="4624" width="27.36328125" style="2" customWidth="1"/>
    <col min="4625" max="4625" width="31.08984375" style="2" customWidth="1"/>
    <col min="4626" max="4626" width="41.90625" style="2" customWidth="1"/>
    <col min="4627" max="4627" width="77.90625" style="2" customWidth="1"/>
    <col min="4628" max="4628" width="20.453125" style="2" customWidth="1"/>
    <col min="4629" max="4629" width="49.453125" style="2" customWidth="1"/>
    <col min="4630" max="4864" width="11.453125" style="2"/>
    <col min="4865" max="4865" width="24.90625" style="2" customWidth="1"/>
    <col min="4866" max="4866" width="35.54296875" style="2" customWidth="1"/>
    <col min="4867" max="4867" width="18.6328125" style="2" customWidth="1"/>
    <col min="4868" max="4868" width="18.36328125" style="2" customWidth="1"/>
    <col min="4869" max="4869" width="29.90625" style="2" customWidth="1"/>
    <col min="4870" max="4870" width="38.453125" style="2" customWidth="1"/>
    <col min="4871" max="4871" width="41.08984375" style="2" customWidth="1"/>
    <col min="4872" max="4872" width="31.453125" style="2" customWidth="1"/>
    <col min="4873" max="4873" width="30.08984375" style="2" customWidth="1"/>
    <col min="4874" max="4874" width="23.90625" style="2" customWidth="1"/>
    <col min="4875" max="4875" width="26.6328125" style="2" customWidth="1"/>
    <col min="4876" max="4876" width="25.36328125" style="2" customWidth="1"/>
    <col min="4877" max="4877" width="28.90625" style="2" customWidth="1"/>
    <col min="4878" max="4878" width="24.08984375" style="2" customWidth="1"/>
    <col min="4879" max="4879" width="35.90625" style="2" customWidth="1"/>
    <col min="4880" max="4880" width="27.36328125" style="2" customWidth="1"/>
    <col min="4881" max="4881" width="31.08984375" style="2" customWidth="1"/>
    <col min="4882" max="4882" width="41.90625" style="2" customWidth="1"/>
    <col min="4883" max="4883" width="77.90625" style="2" customWidth="1"/>
    <col min="4884" max="4884" width="20.453125" style="2" customWidth="1"/>
    <col min="4885" max="4885" width="49.453125" style="2" customWidth="1"/>
    <col min="4886" max="5120" width="11.453125" style="2"/>
    <col min="5121" max="5121" width="24.90625" style="2" customWidth="1"/>
    <col min="5122" max="5122" width="35.54296875" style="2" customWidth="1"/>
    <col min="5123" max="5123" width="18.6328125" style="2" customWidth="1"/>
    <col min="5124" max="5124" width="18.36328125" style="2" customWidth="1"/>
    <col min="5125" max="5125" width="29.90625" style="2" customWidth="1"/>
    <col min="5126" max="5126" width="38.453125" style="2" customWidth="1"/>
    <col min="5127" max="5127" width="41.08984375" style="2" customWidth="1"/>
    <col min="5128" max="5128" width="31.453125" style="2" customWidth="1"/>
    <col min="5129" max="5129" width="30.08984375" style="2" customWidth="1"/>
    <col min="5130" max="5130" width="23.90625" style="2" customWidth="1"/>
    <col min="5131" max="5131" width="26.6328125" style="2" customWidth="1"/>
    <col min="5132" max="5132" width="25.36328125" style="2" customWidth="1"/>
    <col min="5133" max="5133" width="28.90625" style="2" customWidth="1"/>
    <col min="5134" max="5134" width="24.08984375" style="2" customWidth="1"/>
    <col min="5135" max="5135" width="35.90625" style="2" customWidth="1"/>
    <col min="5136" max="5136" width="27.36328125" style="2" customWidth="1"/>
    <col min="5137" max="5137" width="31.08984375" style="2" customWidth="1"/>
    <col min="5138" max="5138" width="41.90625" style="2" customWidth="1"/>
    <col min="5139" max="5139" width="77.90625" style="2" customWidth="1"/>
    <col min="5140" max="5140" width="20.453125" style="2" customWidth="1"/>
    <col min="5141" max="5141" width="49.453125" style="2" customWidth="1"/>
    <col min="5142" max="5376" width="11.453125" style="2"/>
    <col min="5377" max="5377" width="24.90625" style="2" customWidth="1"/>
    <col min="5378" max="5378" width="35.54296875" style="2" customWidth="1"/>
    <col min="5379" max="5379" width="18.6328125" style="2" customWidth="1"/>
    <col min="5380" max="5380" width="18.36328125" style="2" customWidth="1"/>
    <col min="5381" max="5381" width="29.90625" style="2" customWidth="1"/>
    <col min="5382" max="5382" width="38.453125" style="2" customWidth="1"/>
    <col min="5383" max="5383" width="41.08984375" style="2" customWidth="1"/>
    <col min="5384" max="5384" width="31.453125" style="2" customWidth="1"/>
    <col min="5385" max="5385" width="30.08984375" style="2" customWidth="1"/>
    <col min="5386" max="5386" width="23.90625" style="2" customWidth="1"/>
    <col min="5387" max="5387" width="26.6328125" style="2" customWidth="1"/>
    <col min="5388" max="5388" width="25.36328125" style="2" customWidth="1"/>
    <col min="5389" max="5389" width="28.90625" style="2" customWidth="1"/>
    <col min="5390" max="5390" width="24.08984375" style="2" customWidth="1"/>
    <col min="5391" max="5391" width="35.90625" style="2" customWidth="1"/>
    <col min="5392" max="5392" width="27.36328125" style="2" customWidth="1"/>
    <col min="5393" max="5393" width="31.08984375" style="2" customWidth="1"/>
    <col min="5394" max="5394" width="41.90625" style="2" customWidth="1"/>
    <col min="5395" max="5395" width="77.90625" style="2" customWidth="1"/>
    <col min="5396" max="5396" width="20.453125" style="2" customWidth="1"/>
    <col min="5397" max="5397" width="49.453125" style="2" customWidth="1"/>
    <col min="5398" max="5632" width="11.453125" style="2"/>
    <col min="5633" max="5633" width="24.90625" style="2" customWidth="1"/>
    <col min="5634" max="5634" width="35.54296875" style="2" customWidth="1"/>
    <col min="5635" max="5635" width="18.6328125" style="2" customWidth="1"/>
    <col min="5636" max="5636" width="18.36328125" style="2" customWidth="1"/>
    <col min="5637" max="5637" width="29.90625" style="2" customWidth="1"/>
    <col min="5638" max="5638" width="38.453125" style="2" customWidth="1"/>
    <col min="5639" max="5639" width="41.08984375" style="2" customWidth="1"/>
    <col min="5640" max="5640" width="31.453125" style="2" customWidth="1"/>
    <col min="5641" max="5641" width="30.08984375" style="2" customWidth="1"/>
    <col min="5642" max="5642" width="23.90625" style="2" customWidth="1"/>
    <col min="5643" max="5643" width="26.6328125" style="2" customWidth="1"/>
    <col min="5644" max="5644" width="25.36328125" style="2" customWidth="1"/>
    <col min="5645" max="5645" width="28.90625" style="2" customWidth="1"/>
    <col min="5646" max="5646" width="24.08984375" style="2" customWidth="1"/>
    <col min="5647" max="5647" width="35.90625" style="2" customWidth="1"/>
    <col min="5648" max="5648" width="27.36328125" style="2" customWidth="1"/>
    <col min="5649" max="5649" width="31.08984375" style="2" customWidth="1"/>
    <col min="5650" max="5650" width="41.90625" style="2" customWidth="1"/>
    <col min="5651" max="5651" width="77.90625" style="2" customWidth="1"/>
    <col min="5652" max="5652" width="20.453125" style="2" customWidth="1"/>
    <col min="5653" max="5653" width="49.453125" style="2" customWidth="1"/>
    <col min="5654" max="5888" width="11.453125" style="2"/>
    <col min="5889" max="5889" width="24.90625" style="2" customWidth="1"/>
    <col min="5890" max="5890" width="35.54296875" style="2" customWidth="1"/>
    <col min="5891" max="5891" width="18.6328125" style="2" customWidth="1"/>
    <col min="5892" max="5892" width="18.36328125" style="2" customWidth="1"/>
    <col min="5893" max="5893" width="29.90625" style="2" customWidth="1"/>
    <col min="5894" max="5894" width="38.453125" style="2" customWidth="1"/>
    <col min="5895" max="5895" width="41.08984375" style="2" customWidth="1"/>
    <col min="5896" max="5896" width="31.453125" style="2" customWidth="1"/>
    <col min="5897" max="5897" width="30.08984375" style="2" customWidth="1"/>
    <col min="5898" max="5898" width="23.90625" style="2" customWidth="1"/>
    <col min="5899" max="5899" width="26.6328125" style="2" customWidth="1"/>
    <col min="5900" max="5900" width="25.36328125" style="2" customWidth="1"/>
    <col min="5901" max="5901" width="28.90625" style="2" customWidth="1"/>
    <col min="5902" max="5902" width="24.08984375" style="2" customWidth="1"/>
    <col min="5903" max="5903" width="35.90625" style="2" customWidth="1"/>
    <col min="5904" max="5904" width="27.36328125" style="2" customWidth="1"/>
    <col min="5905" max="5905" width="31.08984375" style="2" customWidth="1"/>
    <col min="5906" max="5906" width="41.90625" style="2" customWidth="1"/>
    <col min="5907" max="5907" width="77.90625" style="2" customWidth="1"/>
    <col min="5908" max="5908" width="20.453125" style="2" customWidth="1"/>
    <col min="5909" max="5909" width="49.453125" style="2" customWidth="1"/>
    <col min="5910" max="6144" width="11.453125" style="2"/>
    <col min="6145" max="6145" width="24.90625" style="2" customWidth="1"/>
    <col min="6146" max="6146" width="35.54296875" style="2" customWidth="1"/>
    <col min="6147" max="6147" width="18.6328125" style="2" customWidth="1"/>
    <col min="6148" max="6148" width="18.36328125" style="2" customWidth="1"/>
    <col min="6149" max="6149" width="29.90625" style="2" customWidth="1"/>
    <col min="6150" max="6150" width="38.453125" style="2" customWidth="1"/>
    <col min="6151" max="6151" width="41.08984375" style="2" customWidth="1"/>
    <col min="6152" max="6152" width="31.453125" style="2" customWidth="1"/>
    <col min="6153" max="6153" width="30.08984375" style="2" customWidth="1"/>
    <col min="6154" max="6154" width="23.90625" style="2" customWidth="1"/>
    <col min="6155" max="6155" width="26.6328125" style="2" customWidth="1"/>
    <col min="6156" max="6156" width="25.36328125" style="2" customWidth="1"/>
    <col min="6157" max="6157" width="28.90625" style="2" customWidth="1"/>
    <col min="6158" max="6158" width="24.08984375" style="2" customWidth="1"/>
    <col min="6159" max="6159" width="35.90625" style="2" customWidth="1"/>
    <col min="6160" max="6160" width="27.36328125" style="2" customWidth="1"/>
    <col min="6161" max="6161" width="31.08984375" style="2" customWidth="1"/>
    <col min="6162" max="6162" width="41.90625" style="2" customWidth="1"/>
    <col min="6163" max="6163" width="77.90625" style="2" customWidth="1"/>
    <col min="6164" max="6164" width="20.453125" style="2" customWidth="1"/>
    <col min="6165" max="6165" width="49.453125" style="2" customWidth="1"/>
    <col min="6166" max="6400" width="11.453125" style="2"/>
    <col min="6401" max="6401" width="24.90625" style="2" customWidth="1"/>
    <col min="6402" max="6402" width="35.54296875" style="2" customWidth="1"/>
    <col min="6403" max="6403" width="18.6328125" style="2" customWidth="1"/>
    <col min="6404" max="6404" width="18.36328125" style="2" customWidth="1"/>
    <col min="6405" max="6405" width="29.90625" style="2" customWidth="1"/>
    <col min="6406" max="6406" width="38.453125" style="2" customWidth="1"/>
    <col min="6407" max="6407" width="41.08984375" style="2" customWidth="1"/>
    <col min="6408" max="6408" width="31.453125" style="2" customWidth="1"/>
    <col min="6409" max="6409" width="30.08984375" style="2" customWidth="1"/>
    <col min="6410" max="6410" width="23.90625" style="2" customWidth="1"/>
    <col min="6411" max="6411" width="26.6328125" style="2" customWidth="1"/>
    <col min="6412" max="6412" width="25.36328125" style="2" customWidth="1"/>
    <col min="6413" max="6413" width="28.90625" style="2" customWidth="1"/>
    <col min="6414" max="6414" width="24.08984375" style="2" customWidth="1"/>
    <col min="6415" max="6415" width="35.90625" style="2" customWidth="1"/>
    <col min="6416" max="6416" width="27.36328125" style="2" customWidth="1"/>
    <col min="6417" max="6417" width="31.08984375" style="2" customWidth="1"/>
    <col min="6418" max="6418" width="41.90625" style="2" customWidth="1"/>
    <col min="6419" max="6419" width="77.90625" style="2" customWidth="1"/>
    <col min="6420" max="6420" width="20.453125" style="2" customWidth="1"/>
    <col min="6421" max="6421" width="49.453125" style="2" customWidth="1"/>
    <col min="6422" max="6656" width="11.453125" style="2"/>
    <col min="6657" max="6657" width="24.90625" style="2" customWidth="1"/>
    <col min="6658" max="6658" width="35.54296875" style="2" customWidth="1"/>
    <col min="6659" max="6659" width="18.6328125" style="2" customWidth="1"/>
    <col min="6660" max="6660" width="18.36328125" style="2" customWidth="1"/>
    <col min="6661" max="6661" width="29.90625" style="2" customWidth="1"/>
    <col min="6662" max="6662" width="38.453125" style="2" customWidth="1"/>
    <col min="6663" max="6663" width="41.08984375" style="2" customWidth="1"/>
    <col min="6664" max="6664" width="31.453125" style="2" customWidth="1"/>
    <col min="6665" max="6665" width="30.08984375" style="2" customWidth="1"/>
    <col min="6666" max="6666" width="23.90625" style="2" customWidth="1"/>
    <col min="6667" max="6667" width="26.6328125" style="2" customWidth="1"/>
    <col min="6668" max="6668" width="25.36328125" style="2" customWidth="1"/>
    <col min="6669" max="6669" width="28.90625" style="2" customWidth="1"/>
    <col min="6670" max="6670" width="24.08984375" style="2" customWidth="1"/>
    <col min="6671" max="6671" width="35.90625" style="2" customWidth="1"/>
    <col min="6672" max="6672" width="27.36328125" style="2" customWidth="1"/>
    <col min="6673" max="6673" width="31.08984375" style="2" customWidth="1"/>
    <col min="6674" max="6674" width="41.90625" style="2" customWidth="1"/>
    <col min="6675" max="6675" width="77.90625" style="2" customWidth="1"/>
    <col min="6676" max="6676" width="20.453125" style="2" customWidth="1"/>
    <col min="6677" max="6677" width="49.453125" style="2" customWidth="1"/>
    <col min="6678" max="6912" width="11.453125" style="2"/>
    <col min="6913" max="6913" width="24.90625" style="2" customWidth="1"/>
    <col min="6914" max="6914" width="35.54296875" style="2" customWidth="1"/>
    <col min="6915" max="6915" width="18.6328125" style="2" customWidth="1"/>
    <col min="6916" max="6916" width="18.36328125" style="2" customWidth="1"/>
    <col min="6917" max="6917" width="29.90625" style="2" customWidth="1"/>
    <col min="6918" max="6918" width="38.453125" style="2" customWidth="1"/>
    <col min="6919" max="6919" width="41.08984375" style="2" customWidth="1"/>
    <col min="6920" max="6920" width="31.453125" style="2" customWidth="1"/>
    <col min="6921" max="6921" width="30.08984375" style="2" customWidth="1"/>
    <col min="6922" max="6922" width="23.90625" style="2" customWidth="1"/>
    <col min="6923" max="6923" width="26.6328125" style="2" customWidth="1"/>
    <col min="6924" max="6924" width="25.36328125" style="2" customWidth="1"/>
    <col min="6925" max="6925" width="28.90625" style="2" customWidth="1"/>
    <col min="6926" max="6926" width="24.08984375" style="2" customWidth="1"/>
    <col min="6927" max="6927" width="35.90625" style="2" customWidth="1"/>
    <col min="6928" max="6928" width="27.36328125" style="2" customWidth="1"/>
    <col min="6929" max="6929" width="31.08984375" style="2" customWidth="1"/>
    <col min="6930" max="6930" width="41.90625" style="2" customWidth="1"/>
    <col min="6931" max="6931" width="77.90625" style="2" customWidth="1"/>
    <col min="6932" max="6932" width="20.453125" style="2" customWidth="1"/>
    <col min="6933" max="6933" width="49.453125" style="2" customWidth="1"/>
    <col min="6934" max="7168" width="11.453125" style="2"/>
    <col min="7169" max="7169" width="24.90625" style="2" customWidth="1"/>
    <col min="7170" max="7170" width="35.54296875" style="2" customWidth="1"/>
    <col min="7171" max="7171" width="18.6328125" style="2" customWidth="1"/>
    <col min="7172" max="7172" width="18.36328125" style="2" customWidth="1"/>
    <col min="7173" max="7173" width="29.90625" style="2" customWidth="1"/>
    <col min="7174" max="7174" width="38.453125" style="2" customWidth="1"/>
    <col min="7175" max="7175" width="41.08984375" style="2" customWidth="1"/>
    <col min="7176" max="7176" width="31.453125" style="2" customWidth="1"/>
    <col min="7177" max="7177" width="30.08984375" style="2" customWidth="1"/>
    <col min="7178" max="7178" width="23.90625" style="2" customWidth="1"/>
    <col min="7179" max="7179" width="26.6328125" style="2" customWidth="1"/>
    <col min="7180" max="7180" width="25.36328125" style="2" customWidth="1"/>
    <col min="7181" max="7181" width="28.90625" style="2" customWidth="1"/>
    <col min="7182" max="7182" width="24.08984375" style="2" customWidth="1"/>
    <col min="7183" max="7183" width="35.90625" style="2" customWidth="1"/>
    <col min="7184" max="7184" width="27.36328125" style="2" customWidth="1"/>
    <col min="7185" max="7185" width="31.08984375" style="2" customWidth="1"/>
    <col min="7186" max="7186" width="41.90625" style="2" customWidth="1"/>
    <col min="7187" max="7187" width="77.90625" style="2" customWidth="1"/>
    <col min="7188" max="7188" width="20.453125" style="2" customWidth="1"/>
    <col min="7189" max="7189" width="49.453125" style="2" customWidth="1"/>
    <col min="7190" max="7424" width="11.453125" style="2"/>
    <col min="7425" max="7425" width="24.90625" style="2" customWidth="1"/>
    <col min="7426" max="7426" width="35.54296875" style="2" customWidth="1"/>
    <col min="7427" max="7427" width="18.6328125" style="2" customWidth="1"/>
    <col min="7428" max="7428" width="18.36328125" style="2" customWidth="1"/>
    <col min="7429" max="7429" width="29.90625" style="2" customWidth="1"/>
    <col min="7430" max="7430" width="38.453125" style="2" customWidth="1"/>
    <col min="7431" max="7431" width="41.08984375" style="2" customWidth="1"/>
    <col min="7432" max="7432" width="31.453125" style="2" customWidth="1"/>
    <col min="7433" max="7433" width="30.08984375" style="2" customWidth="1"/>
    <col min="7434" max="7434" width="23.90625" style="2" customWidth="1"/>
    <col min="7435" max="7435" width="26.6328125" style="2" customWidth="1"/>
    <col min="7436" max="7436" width="25.36328125" style="2" customWidth="1"/>
    <col min="7437" max="7437" width="28.90625" style="2" customWidth="1"/>
    <col min="7438" max="7438" width="24.08984375" style="2" customWidth="1"/>
    <col min="7439" max="7439" width="35.90625" style="2" customWidth="1"/>
    <col min="7440" max="7440" width="27.36328125" style="2" customWidth="1"/>
    <col min="7441" max="7441" width="31.08984375" style="2" customWidth="1"/>
    <col min="7442" max="7442" width="41.90625" style="2" customWidth="1"/>
    <col min="7443" max="7443" width="77.90625" style="2" customWidth="1"/>
    <col min="7444" max="7444" width="20.453125" style="2" customWidth="1"/>
    <col min="7445" max="7445" width="49.453125" style="2" customWidth="1"/>
    <col min="7446" max="7680" width="11.453125" style="2"/>
    <col min="7681" max="7681" width="24.90625" style="2" customWidth="1"/>
    <col min="7682" max="7682" width="35.54296875" style="2" customWidth="1"/>
    <col min="7683" max="7683" width="18.6328125" style="2" customWidth="1"/>
    <col min="7684" max="7684" width="18.36328125" style="2" customWidth="1"/>
    <col min="7685" max="7685" width="29.90625" style="2" customWidth="1"/>
    <col min="7686" max="7686" width="38.453125" style="2" customWidth="1"/>
    <col min="7687" max="7687" width="41.08984375" style="2" customWidth="1"/>
    <col min="7688" max="7688" width="31.453125" style="2" customWidth="1"/>
    <col min="7689" max="7689" width="30.08984375" style="2" customWidth="1"/>
    <col min="7690" max="7690" width="23.90625" style="2" customWidth="1"/>
    <col min="7691" max="7691" width="26.6328125" style="2" customWidth="1"/>
    <col min="7692" max="7692" width="25.36328125" style="2" customWidth="1"/>
    <col min="7693" max="7693" width="28.90625" style="2" customWidth="1"/>
    <col min="7694" max="7694" width="24.08984375" style="2" customWidth="1"/>
    <col min="7695" max="7695" width="35.90625" style="2" customWidth="1"/>
    <col min="7696" max="7696" width="27.36328125" style="2" customWidth="1"/>
    <col min="7697" max="7697" width="31.08984375" style="2" customWidth="1"/>
    <col min="7698" max="7698" width="41.90625" style="2" customWidth="1"/>
    <col min="7699" max="7699" width="77.90625" style="2" customWidth="1"/>
    <col min="7700" max="7700" width="20.453125" style="2" customWidth="1"/>
    <col min="7701" max="7701" width="49.453125" style="2" customWidth="1"/>
    <col min="7702" max="7936" width="11.453125" style="2"/>
    <col min="7937" max="7937" width="24.90625" style="2" customWidth="1"/>
    <col min="7938" max="7938" width="35.54296875" style="2" customWidth="1"/>
    <col min="7939" max="7939" width="18.6328125" style="2" customWidth="1"/>
    <col min="7940" max="7940" width="18.36328125" style="2" customWidth="1"/>
    <col min="7941" max="7941" width="29.90625" style="2" customWidth="1"/>
    <col min="7942" max="7942" width="38.453125" style="2" customWidth="1"/>
    <col min="7943" max="7943" width="41.08984375" style="2" customWidth="1"/>
    <col min="7944" max="7944" width="31.453125" style="2" customWidth="1"/>
    <col min="7945" max="7945" width="30.08984375" style="2" customWidth="1"/>
    <col min="7946" max="7946" width="23.90625" style="2" customWidth="1"/>
    <col min="7947" max="7947" width="26.6328125" style="2" customWidth="1"/>
    <col min="7948" max="7948" width="25.36328125" style="2" customWidth="1"/>
    <col min="7949" max="7949" width="28.90625" style="2" customWidth="1"/>
    <col min="7950" max="7950" width="24.08984375" style="2" customWidth="1"/>
    <col min="7951" max="7951" width="35.90625" style="2" customWidth="1"/>
    <col min="7952" max="7952" width="27.36328125" style="2" customWidth="1"/>
    <col min="7953" max="7953" width="31.08984375" style="2" customWidth="1"/>
    <col min="7954" max="7954" width="41.90625" style="2" customWidth="1"/>
    <col min="7955" max="7955" width="77.90625" style="2" customWidth="1"/>
    <col min="7956" max="7956" width="20.453125" style="2" customWidth="1"/>
    <col min="7957" max="7957" width="49.453125" style="2" customWidth="1"/>
    <col min="7958" max="8192" width="11.453125" style="2"/>
    <col min="8193" max="8193" width="24.90625" style="2" customWidth="1"/>
    <col min="8194" max="8194" width="35.54296875" style="2" customWidth="1"/>
    <col min="8195" max="8195" width="18.6328125" style="2" customWidth="1"/>
    <col min="8196" max="8196" width="18.36328125" style="2" customWidth="1"/>
    <col min="8197" max="8197" width="29.90625" style="2" customWidth="1"/>
    <col min="8198" max="8198" width="38.453125" style="2" customWidth="1"/>
    <col min="8199" max="8199" width="41.08984375" style="2" customWidth="1"/>
    <col min="8200" max="8200" width="31.453125" style="2" customWidth="1"/>
    <col min="8201" max="8201" width="30.08984375" style="2" customWidth="1"/>
    <col min="8202" max="8202" width="23.90625" style="2" customWidth="1"/>
    <col min="8203" max="8203" width="26.6328125" style="2" customWidth="1"/>
    <col min="8204" max="8204" width="25.36328125" style="2" customWidth="1"/>
    <col min="8205" max="8205" width="28.90625" style="2" customWidth="1"/>
    <col min="8206" max="8206" width="24.08984375" style="2" customWidth="1"/>
    <col min="8207" max="8207" width="35.90625" style="2" customWidth="1"/>
    <col min="8208" max="8208" width="27.36328125" style="2" customWidth="1"/>
    <col min="8209" max="8209" width="31.08984375" style="2" customWidth="1"/>
    <col min="8210" max="8210" width="41.90625" style="2" customWidth="1"/>
    <col min="8211" max="8211" width="77.90625" style="2" customWidth="1"/>
    <col min="8212" max="8212" width="20.453125" style="2" customWidth="1"/>
    <col min="8213" max="8213" width="49.453125" style="2" customWidth="1"/>
    <col min="8214" max="8448" width="11.453125" style="2"/>
    <col min="8449" max="8449" width="24.90625" style="2" customWidth="1"/>
    <col min="8450" max="8450" width="35.54296875" style="2" customWidth="1"/>
    <col min="8451" max="8451" width="18.6328125" style="2" customWidth="1"/>
    <col min="8452" max="8452" width="18.36328125" style="2" customWidth="1"/>
    <col min="8453" max="8453" width="29.90625" style="2" customWidth="1"/>
    <col min="8454" max="8454" width="38.453125" style="2" customWidth="1"/>
    <col min="8455" max="8455" width="41.08984375" style="2" customWidth="1"/>
    <col min="8456" max="8456" width="31.453125" style="2" customWidth="1"/>
    <col min="8457" max="8457" width="30.08984375" style="2" customWidth="1"/>
    <col min="8458" max="8458" width="23.90625" style="2" customWidth="1"/>
    <col min="8459" max="8459" width="26.6328125" style="2" customWidth="1"/>
    <col min="8460" max="8460" width="25.36328125" style="2" customWidth="1"/>
    <col min="8461" max="8461" width="28.90625" style="2" customWidth="1"/>
    <col min="8462" max="8462" width="24.08984375" style="2" customWidth="1"/>
    <col min="8463" max="8463" width="35.90625" style="2" customWidth="1"/>
    <col min="8464" max="8464" width="27.36328125" style="2" customWidth="1"/>
    <col min="8465" max="8465" width="31.08984375" style="2" customWidth="1"/>
    <col min="8466" max="8466" width="41.90625" style="2" customWidth="1"/>
    <col min="8467" max="8467" width="77.90625" style="2" customWidth="1"/>
    <col min="8468" max="8468" width="20.453125" style="2" customWidth="1"/>
    <col min="8469" max="8469" width="49.453125" style="2" customWidth="1"/>
    <col min="8470" max="8704" width="11.453125" style="2"/>
    <col min="8705" max="8705" width="24.90625" style="2" customWidth="1"/>
    <col min="8706" max="8706" width="35.54296875" style="2" customWidth="1"/>
    <col min="8707" max="8707" width="18.6328125" style="2" customWidth="1"/>
    <col min="8708" max="8708" width="18.36328125" style="2" customWidth="1"/>
    <col min="8709" max="8709" width="29.90625" style="2" customWidth="1"/>
    <col min="8710" max="8710" width="38.453125" style="2" customWidth="1"/>
    <col min="8711" max="8711" width="41.08984375" style="2" customWidth="1"/>
    <col min="8712" max="8712" width="31.453125" style="2" customWidth="1"/>
    <col min="8713" max="8713" width="30.08984375" style="2" customWidth="1"/>
    <col min="8714" max="8714" width="23.90625" style="2" customWidth="1"/>
    <col min="8715" max="8715" width="26.6328125" style="2" customWidth="1"/>
    <col min="8716" max="8716" width="25.36328125" style="2" customWidth="1"/>
    <col min="8717" max="8717" width="28.90625" style="2" customWidth="1"/>
    <col min="8718" max="8718" width="24.08984375" style="2" customWidth="1"/>
    <col min="8719" max="8719" width="35.90625" style="2" customWidth="1"/>
    <col min="8720" max="8720" width="27.36328125" style="2" customWidth="1"/>
    <col min="8721" max="8721" width="31.08984375" style="2" customWidth="1"/>
    <col min="8722" max="8722" width="41.90625" style="2" customWidth="1"/>
    <col min="8723" max="8723" width="77.90625" style="2" customWidth="1"/>
    <col min="8724" max="8724" width="20.453125" style="2" customWidth="1"/>
    <col min="8725" max="8725" width="49.453125" style="2" customWidth="1"/>
    <col min="8726" max="8960" width="11.453125" style="2"/>
    <col min="8961" max="8961" width="24.90625" style="2" customWidth="1"/>
    <col min="8962" max="8962" width="35.54296875" style="2" customWidth="1"/>
    <col min="8963" max="8963" width="18.6328125" style="2" customWidth="1"/>
    <col min="8964" max="8964" width="18.36328125" style="2" customWidth="1"/>
    <col min="8965" max="8965" width="29.90625" style="2" customWidth="1"/>
    <col min="8966" max="8966" width="38.453125" style="2" customWidth="1"/>
    <col min="8967" max="8967" width="41.08984375" style="2" customWidth="1"/>
    <col min="8968" max="8968" width="31.453125" style="2" customWidth="1"/>
    <col min="8969" max="8969" width="30.08984375" style="2" customWidth="1"/>
    <col min="8970" max="8970" width="23.90625" style="2" customWidth="1"/>
    <col min="8971" max="8971" width="26.6328125" style="2" customWidth="1"/>
    <col min="8972" max="8972" width="25.36328125" style="2" customWidth="1"/>
    <col min="8973" max="8973" width="28.90625" style="2" customWidth="1"/>
    <col min="8974" max="8974" width="24.08984375" style="2" customWidth="1"/>
    <col min="8975" max="8975" width="35.90625" style="2" customWidth="1"/>
    <col min="8976" max="8976" width="27.36328125" style="2" customWidth="1"/>
    <col min="8977" max="8977" width="31.08984375" style="2" customWidth="1"/>
    <col min="8978" max="8978" width="41.90625" style="2" customWidth="1"/>
    <col min="8979" max="8979" width="77.90625" style="2" customWidth="1"/>
    <col min="8980" max="8980" width="20.453125" style="2" customWidth="1"/>
    <col min="8981" max="8981" width="49.453125" style="2" customWidth="1"/>
    <col min="8982" max="9216" width="11.453125" style="2"/>
    <col min="9217" max="9217" width="24.90625" style="2" customWidth="1"/>
    <col min="9218" max="9218" width="35.54296875" style="2" customWidth="1"/>
    <col min="9219" max="9219" width="18.6328125" style="2" customWidth="1"/>
    <col min="9220" max="9220" width="18.36328125" style="2" customWidth="1"/>
    <col min="9221" max="9221" width="29.90625" style="2" customWidth="1"/>
    <col min="9222" max="9222" width="38.453125" style="2" customWidth="1"/>
    <col min="9223" max="9223" width="41.08984375" style="2" customWidth="1"/>
    <col min="9224" max="9224" width="31.453125" style="2" customWidth="1"/>
    <col min="9225" max="9225" width="30.08984375" style="2" customWidth="1"/>
    <col min="9226" max="9226" width="23.90625" style="2" customWidth="1"/>
    <col min="9227" max="9227" width="26.6328125" style="2" customWidth="1"/>
    <col min="9228" max="9228" width="25.36328125" style="2" customWidth="1"/>
    <col min="9229" max="9229" width="28.90625" style="2" customWidth="1"/>
    <col min="9230" max="9230" width="24.08984375" style="2" customWidth="1"/>
    <col min="9231" max="9231" width="35.90625" style="2" customWidth="1"/>
    <col min="9232" max="9232" width="27.36328125" style="2" customWidth="1"/>
    <col min="9233" max="9233" width="31.08984375" style="2" customWidth="1"/>
    <col min="9234" max="9234" width="41.90625" style="2" customWidth="1"/>
    <col min="9235" max="9235" width="77.90625" style="2" customWidth="1"/>
    <col min="9236" max="9236" width="20.453125" style="2" customWidth="1"/>
    <col min="9237" max="9237" width="49.453125" style="2" customWidth="1"/>
    <col min="9238" max="9472" width="11.453125" style="2"/>
    <col min="9473" max="9473" width="24.90625" style="2" customWidth="1"/>
    <col min="9474" max="9474" width="35.54296875" style="2" customWidth="1"/>
    <col min="9475" max="9475" width="18.6328125" style="2" customWidth="1"/>
    <col min="9476" max="9476" width="18.36328125" style="2" customWidth="1"/>
    <col min="9477" max="9477" width="29.90625" style="2" customWidth="1"/>
    <col min="9478" max="9478" width="38.453125" style="2" customWidth="1"/>
    <col min="9479" max="9479" width="41.08984375" style="2" customWidth="1"/>
    <col min="9480" max="9480" width="31.453125" style="2" customWidth="1"/>
    <col min="9481" max="9481" width="30.08984375" style="2" customWidth="1"/>
    <col min="9482" max="9482" width="23.90625" style="2" customWidth="1"/>
    <col min="9483" max="9483" width="26.6328125" style="2" customWidth="1"/>
    <col min="9484" max="9484" width="25.36328125" style="2" customWidth="1"/>
    <col min="9485" max="9485" width="28.90625" style="2" customWidth="1"/>
    <col min="9486" max="9486" width="24.08984375" style="2" customWidth="1"/>
    <col min="9487" max="9487" width="35.90625" style="2" customWidth="1"/>
    <col min="9488" max="9488" width="27.36328125" style="2" customWidth="1"/>
    <col min="9489" max="9489" width="31.08984375" style="2" customWidth="1"/>
    <col min="9490" max="9490" width="41.90625" style="2" customWidth="1"/>
    <col min="9491" max="9491" width="77.90625" style="2" customWidth="1"/>
    <col min="9492" max="9492" width="20.453125" style="2" customWidth="1"/>
    <col min="9493" max="9493" width="49.453125" style="2" customWidth="1"/>
    <col min="9494" max="9728" width="11.453125" style="2"/>
    <col min="9729" max="9729" width="24.90625" style="2" customWidth="1"/>
    <col min="9730" max="9730" width="35.54296875" style="2" customWidth="1"/>
    <col min="9731" max="9731" width="18.6328125" style="2" customWidth="1"/>
    <col min="9732" max="9732" width="18.36328125" style="2" customWidth="1"/>
    <col min="9733" max="9733" width="29.90625" style="2" customWidth="1"/>
    <col min="9734" max="9734" width="38.453125" style="2" customWidth="1"/>
    <col min="9735" max="9735" width="41.08984375" style="2" customWidth="1"/>
    <col min="9736" max="9736" width="31.453125" style="2" customWidth="1"/>
    <col min="9737" max="9737" width="30.08984375" style="2" customWidth="1"/>
    <col min="9738" max="9738" width="23.90625" style="2" customWidth="1"/>
    <col min="9739" max="9739" width="26.6328125" style="2" customWidth="1"/>
    <col min="9740" max="9740" width="25.36328125" style="2" customWidth="1"/>
    <col min="9741" max="9741" width="28.90625" style="2" customWidth="1"/>
    <col min="9742" max="9742" width="24.08984375" style="2" customWidth="1"/>
    <col min="9743" max="9743" width="35.90625" style="2" customWidth="1"/>
    <col min="9744" max="9744" width="27.36328125" style="2" customWidth="1"/>
    <col min="9745" max="9745" width="31.08984375" style="2" customWidth="1"/>
    <col min="9746" max="9746" width="41.90625" style="2" customWidth="1"/>
    <col min="9747" max="9747" width="77.90625" style="2" customWidth="1"/>
    <col min="9748" max="9748" width="20.453125" style="2" customWidth="1"/>
    <col min="9749" max="9749" width="49.453125" style="2" customWidth="1"/>
    <col min="9750" max="9984" width="11.453125" style="2"/>
    <col min="9985" max="9985" width="24.90625" style="2" customWidth="1"/>
    <col min="9986" max="9986" width="35.54296875" style="2" customWidth="1"/>
    <col min="9987" max="9987" width="18.6328125" style="2" customWidth="1"/>
    <col min="9988" max="9988" width="18.36328125" style="2" customWidth="1"/>
    <col min="9989" max="9989" width="29.90625" style="2" customWidth="1"/>
    <col min="9990" max="9990" width="38.453125" style="2" customWidth="1"/>
    <col min="9991" max="9991" width="41.08984375" style="2" customWidth="1"/>
    <col min="9992" max="9992" width="31.453125" style="2" customWidth="1"/>
    <col min="9993" max="9993" width="30.08984375" style="2" customWidth="1"/>
    <col min="9994" max="9994" width="23.90625" style="2" customWidth="1"/>
    <col min="9995" max="9995" width="26.6328125" style="2" customWidth="1"/>
    <col min="9996" max="9996" width="25.36328125" style="2" customWidth="1"/>
    <col min="9997" max="9997" width="28.90625" style="2" customWidth="1"/>
    <col min="9998" max="9998" width="24.08984375" style="2" customWidth="1"/>
    <col min="9999" max="9999" width="35.90625" style="2" customWidth="1"/>
    <col min="10000" max="10000" width="27.36328125" style="2" customWidth="1"/>
    <col min="10001" max="10001" width="31.08984375" style="2" customWidth="1"/>
    <col min="10002" max="10002" width="41.90625" style="2" customWidth="1"/>
    <col min="10003" max="10003" width="77.90625" style="2" customWidth="1"/>
    <col min="10004" max="10004" width="20.453125" style="2" customWidth="1"/>
    <col min="10005" max="10005" width="49.453125" style="2" customWidth="1"/>
    <col min="10006" max="10240" width="11.453125" style="2"/>
    <col min="10241" max="10241" width="24.90625" style="2" customWidth="1"/>
    <col min="10242" max="10242" width="35.54296875" style="2" customWidth="1"/>
    <col min="10243" max="10243" width="18.6328125" style="2" customWidth="1"/>
    <col min="10244" max="10244" width="18.36328125" style="2" customWidth="1"/>
    <col min="10245" max="10245" width="29.90625" style="2" customWidth="1"/>
    <col min="10246" max="10246" width="38.453125" style="2" customWidth="1"/>
    <col min="10247" max="10247" width="41.08984375" style="2" customWidth="1"/>
    <col min="10248" max="10248" width="31.453125" style="2" customWidth="1"/>
    <col min="10249" max="10249" width="30.08984375" style="2" customWidth="1"/>
    <col min="10250" max="10250" width="23.90625" style="2" customWidth="1"/>
    <col min="10251" max="10251" width="26.6328125" style="2" customWidth="1"/>
    <col min="10252" max="10252" width="25.36328125" style="2" customWidth="1"/>
    <col min="10253" max="10253" width="28.90625" style="2" customWidth="1"/>
    <col min="10254" max="10254" width="24.08984375" style="2" customWidth="1"/>
    <col min="10255" max="10255" width="35.90625" style="2" customWidth="1"/>
    <col min="10256" max="10256" width="27.36328125" style="2" customWidth="1"/>
    <col min="10257" max="10257" width="31.08984375" style="2" customWidth="1"/>
    <col min="10258" max="10258" width="41.90625" style="2" customWidth="1"/>
    <col min="10259" max="10259" width="77.90625" style="2" customWidth="1"/>
    <col min="10260" max="10260" width="20.453125" style="2" customWidth="1"/>
    <col min="10261" max="10261" width="49.453125" style="2" customWidth="1"/>
    <col min="10262" max="10496" width="11.453125" style="2"/>
    <col min="10497" max="10497" width="24.90625" style="2" customWidth="1"/>
    <col min="10498" max="10498" width="35.54296875" style="2" customWidth="1"/>
    <col min="10499" max="10499" width="18.6328125" style="2" customWidth="1"/>
    <col min="10500" max="10500" width="18.36328125" style="2" customWidth="1"/>
    <col min="10501" max="10501" width="29.90625" style="2" customWidth="1"/>
    <col min="10502" max="10502" width="38.453125" style="2" customWidth="1"/>
    <col min="10503" max="10503" width="41.08984375" style="2" customWidth="1"/>
    <col min="10504" max="10504" width="31.453125" style="2" customWidth="1"/>
    <col min="10505" max="10505" width="30.08984375" style="2" customWidth="1"/>
    <col min="10506" max="10506" width="23.90625" style="2" customWidth="1"/>
    <col min="10507" max="10507" width="26.6328125" style="2" customWidth="1"/>
    <col min="10508" max="10508" width="25.36328125" style="2" customWidth="1"/>
    <col min="10509" max="10509" width="28.90625" style="2" customWidth="1"/>
    <col min="10510" max="10510" width="24.08984375" style="2" customWidth="1"/>
    <col min="10511" max="10511" width="35.90625" style="2" customWidth="1"/>
    <col min="10512" max="10512" width="27.36328125" style="2" customWidth="1"/>
    <col min="10513" max="10513" width="31.08984375" style="2" customWidth="1"/>
    <col min="10514" max="10514" width="41.90625" style="2" customWidth="1"/>
    <col min="10515" max="10515" width="77.90625" style="2" customWidth="1"/>
    <col min="10516" max="10516" width="20.453125" style="2" customWidth="1"/>
    <col min="10517" max="10517" width="49.453125" style="2" customWidth="1"/>
    <col min="10518" max="10752" width="11.453125" style="2"/>
    <col min="10753" max="10753" width="24.90625" style="2" customWidth="1"/>
    <col min="10754" max="10754" width="35.54296875" style="2" customWidth="1"/>
    <col min="10755" max="10755" width="18.6328125" style="2" customWidth="1"/>
    <col min="10756" max="10756" width="18.36328125" style="2" customWidth="1"/>
    <col min="10757" max="10757" width="29.90625" style="2" customWidth="1"/>
    <col min="10758" max="10758" width="38.453125" style="2" customWidth="1"/>
    <col min="10759" max="10759" width="41.08984375" style="2" customWidth="1"/>
    <col min="10760" max="10760" width="31.453125" style="2" customWidth="1"/>
    <col min="10761" max="10761" width="30.08984375" style="2" customWidth="1"/>
    <col min="10762" max="10762" width="23.90625" style="2" customWidth="1"/>
    <col min="10763" max="10763" width="26.6328125" style="2" customWidth="1"/>
    <col min="10764" max="10764" width="25.36328125" style="2" customWidth="1"/>
    <col min="10765" max="10765" width="28.90625" style="2" customWidth="1"/>
    <col min="10766" max="10766" width="24.08984375" style="2" customWidth="1"/>
    <col min="10767" max="10767" width="35.90625" style="2" customWidth="1"/>
    <col min="10768" max="10768" width="27.36328125" style="2" customWidth="1"/>
    <col min="10769" max="10769" width="31.08984375" style="2" customWidth="1"/>
    <col min="10770" max="10770" width="41.90625" style="2" customWidth="1"/>
    <col min="10771" max="10771" width="77.90625" style="2" customWidth="1"/>
    <col min="10772" max="10772" width="20.453125" style="2" customWidth="1"/>
    <col min="10773" max="10773" width="49.453125" style="2" customWidth="1"/>
    <col min="10774" max="11008" width="11.453125" style="2"/>
    <col min="11009" max="11009" width="24.90625" style="2" customWidth="1"/>
    <col min="11010" max="11010" width="35.54296875" style="2" customWidth="1"/>
    <col min="11011" max="11011" width="18.6328125" style="2" customWidth="1"/>
    <col min="11012" max="11012" width="18.36328125" style="2" customWidth="1"/>
    <col min="11013" max="11013" width="29.90625" style="2" customWidth="1"/>
    <col min="11014" max="11014" width="38.453125" style="2" customWidth="1"/>
    <col min="11015" max="11015" width="41.08984375" style="2" customWidth="1"/>
    <col min="11016" max="11016" width="31.453125" style="2" customWidth="1"/>
    <col min="11017" max="11017" width="30.08984375" style="2" customWidth="1"/>
    <col min="11018" max="11018" width="23.90625" style="2" customWidth="1"/>
    <col min="11019" max="11019" width="26.6328125" style="2" customWidth="1"/>
    <col min="11020" max="11020" width="25.36328125" style="2" customWidth="1"/>
    <col min="11021" max="11021" width="28.90625" style="2" customWidth="1"/>
    <col min="11022" max="11022" width="24.08984375" style="2" customWidth="1"/>
    <col min="11023" max="11023" width="35.90625" style="2" customWidth="1"/>
    <col min="11024" max="11024" width="27.36328125" style="2" customWidth="1"/>
    <col min="11025" max="11025" width="31.08984375" style="2" customWidth="1"/>
    <col min="11026" max="11026" width="41.90625" style="2" customWidth="1"/>
    <col min="11027" max="11027" width="77.90625" style="2" customWidth="1"/>
    <col min="11028" max="11028" width="20.453125" style="2" customWidth="1"/>
    <col min="11029" max="11029" width="49.453125" style="2" customWidth="1"/>
    <col min="11030" max="11264" width="11.453125" style="2"/>
    <col min="11265" max="11265" width="24.90625" style="2" customWidth="1"/>
    <col min="11266" max="11266" width="35.54296875" style="2" customWidth="1"/>
    <col min="11267" max="11267" width="18.6328125" style="2" customWidth="1"/>
    <col min="11268" max="11268" width="18.36328125" style="2" customWidth="1"/>
    <col min="11269" max="11269" width="29.90625" style="2" customWidth="1"/>
    <col min="11270" max="11270" width="38.453125" style="2" customWidth="1"/>
    <col min="11271" max="11271" width="41.08984375" style="2" customWidth="1"/>
    <col min="11272" max="11272" width="31.453125" style="2" customWidth="1"/>
    <col min="11273" max="11273" width="30.08984375" style="2" customWidth="1"/>
    <col min="11274" max="11274" width="23.90625" style="2" customWidth="1"/>
    <col min="11275" max="11275" width="26.6328125" style="2" customWidth="1"/>
    <col min="11276" max="11276" width="25.36328125" style="2" customWidth="1"/>
    <col min="11277" max="11277" width="28.90625" style="2" customWidth="1"/>
    <col min="11278" max="11278" width="24.08984375" style="2" customWidth="1"/>
    <col min="11279" max="11279" width="35.90625" style="2" customWidth="1"/>
    <col min="11280" max="11280" width="27.36328125" style="2" customWidth="1"/>
    <col min="11281" max="11281" width="31.08984375" style="2" customWidth="1"/>
    <col min="11282" max="11282" width="41.90625" style="2" customWidth="1"/>
    <col min="11283" max="11283" width="77.90625" style="2" customWidth="1"/>
    <col min="11284" max="11284" width="20.453125" style="2" customWidth="1"/>
    <col min="11285" max="11285" width="49.453125" style="2" customWidth="1"/>
    <col min="11286" max="11520" width="11.453125" style="2"/>
    <col min="11521" max="11521" width="24.90625" style="2" customWidth="1"/>
    <col min="11522" max="11522" width="35.54296875" style="2" customWidth="1"/>
    <col min="11523" max="11523" width="18.6328125" style="2" customWidth="1"/>
    <col min="11524" max="11524" width="18.36328125" style="2" customWidth="1"/>
    <col min="11525" max="11525" width="29.90625" style="2" customWidth="1"/>
    <col min="11526" max="11526" width="38.453125" style="2" customWidth="1"/>
    <col min="11527" max="11527" width="41.08984375" style="2" customWidth="1"/>
    <col min="11528" max="11528" width="31.453125" style="2" customWidth="1"/>
    <col min="11529" max="11529" width="30.08984375" style="2" customWidth="1"/>
    <col min="11530" max="11530" width="23.90625" style="2" customWidth="1"/>
    <col min="11531" max="11531" width="26.6328125" style="2" customWidth="1"/>
    <col min="11532" max="11532" width="25.36328125" style="2" customWidth="1"/>
    <col min="11533" max="11533" width="28.90625" style="2" customWidth="1"/>
    <col min="11534" max="11534" width="24.08984375" style="2" customWidth="1"/>
    <col min="11535" max="11535" width="35.90625" style="2" customWidth="1"/>
    <col min="11536" max="11536" width="27.36328125" style="2" customWidth="1"/>
    <col min="11537" max="11537" width="31.08984375" style="2" customWidth="1"/>
    <col min="11538" max="11538" width="41.90625" style="2" customWidth="1"/>
    <col min="11539" max="11539" width="77.90625" style="2" customWidth="1"/>
    <col min="11540" max="11540" width="20.453125" style="2" customWidth="1"/>
    <col min="11541" max="11541" width="49.453125" style="2" customWidth="1"/>
    <col min="11542" max="11776" width="11.453125" style="2"/>
    <col min="11777" max="11777" width="24.90625" style="2" customWidth="1"/>
    <col min="11778" max="11778" width="35.54296875" style="2" customWidth="1"/>
    <col min="11779" max="11779" width="18.6328125" style="2" customWidth="1"/>
    <col min="11780" max="11780" width="18.36328125" style="2" customWidth="1"/>
    <col min="11781" max="11781" width="29.90625" style="2" customWidth="1"/>
    <col min="11782" max="11782" width="38.453125" style="2" customWidth="1"/>
    <col min="11783" max="11783" width="41.08984375" style="2" customWidth="1"/>
    <col min="11784" max="11784" width="31.453125" style="2" customWidth="1"/>
    <col min="11785" max="11785" width="30.08984375" style="2" customWidth="1"/>
    <col min="11786" max="11786" width="23.90625" style="2" customWidth="1"/>
    <col min="11787" max="11787" width="26.6328125" style="2" customWidth="1"/>
    <col min="11788" max="11788" width="25.36328125" style="2" customWidth="1"/>
    <col min="11789" max="11789" width="28.90625" style="2" customWidth="1"/>
    <col min="11790" max="11790" width="24.08984375" style="2" customWidth="1"/>
    <col min="11791" max="11791" width="35.90625" style="2" customWidth="1"/>
    <col min="11792" max="11792" width="27.36328125" style="2" customWidth="1"/>
    <col min="11793" max="11793" width="31.08984375" style="2" customWidth="1"/>
    <col min="11794" max="11794" width="41.90625" style="2" customWidth="1"/>
    <col min="11795" max="11795" width="77.90625" style="2" customWidth="1"/>
    <col min="11796" max="11796" width="20.453125" style="2" customWidth="1"/>
    <col min="11797" max="11797" width="49.453125" style="2" customWidth="1"/>
    <col min="11798" max="12032" width="11.453125" style="2"/>
    <col min="12033" max="12033" width="24.90625" style="2" customWidth="1"/>
    <col min="12034" max="12034" width="35.54296875" style="2" customWidth="1"/>
    <col min="12035" max="12035" width="18.6328125" style="2" customWidth="1"/>
    <col min="12036" max="12036" width="18.36328125" style="2" customWidth="1"/>
    <col min="12037" max="12037" width="29.90625" style="2" customWidth="1"/>
    <col min="12038" max="12038" width="38.453125" style="2" customWidth="1"/>
    <col min="12039" max="12039" width="41.08984375" style="2" customWidth="1"/>
    <col min="12040" max="12040" width="31.453125" style="2" customWidth="1"/>
    <col min="12041" max="12041" width="30.08984375" style="2" customWidth="1"/>
    <col min="12042" max="12042" width="23.90625" style="2" customWidth="1"/>
    <col min="12043" max="12043" width="26.6328125" style="2" customWidth="1"/>
    <col min="12044" max="12044" width="25.36328125" style="2" customWidth="1"/>
    <col min="12045" max="12045" width="28.90625" style="2" customWidth="1"/>
    <col min="12046" max="12046" width="24.08984375" style="2" customWidth="1"/>
    <col min="12047" max="12047" width="35.90625" style="2" customWidth="1"/>
    <col min="12048" max="12048" width="27.36328125" style="2" customWidth="1"/>
    <col min="12049" max="12049" width="31.08984375" style="2" customWidth="1"/>
    <col min="12050" max="12050" width="41.90625" style="2" customWidth="1"/>
    <col min="12051" max="12051" width="77.90625" style="2" customWidth="1"/>
    <col min="12052" max="12052" width="20.453125" style="2" customWidth="1"/>
    <col min="12053" max="12053" width="49.453125" style="2" customWidth="1"/>
    <col min="12054" max="12288" width="11.453125" style="2"/>
    <col min="12289" max="12289" width="24.90625" style="2" customWidth="1"/>
    <col min="12290" max="12290" width="35.54296875" style="2" customWidth="1"/>
    <col min="12291" max="12291" width="18.6328125" style="2" customWidth="1"/>
    <col min="12292" max="12292" width="18.36328125" style="2" customWidth="1"/>
    <col min="12293" max="12293" width="29.90625" style="2" customWidth="1"/>
    <col min="12294" max="12294" width="38.453125" style="2" customWidth="1"/>
    <col min="12295" max="12295" width="41.08984375" style="2" customWidth="1"/>
    <col min="12296" max="12296" width="31.453125" style="2" customWidth="1"/>
    <col min="12297" max="12297" width="30.08984375" style="2" customWidth="1"/>
    <col min="12298" max="12298" width="23.90625" style="2" customWidth="1"/>
    <col min="12299" max="12299" width="26.6328125" style="2" customWidth="1"/>
    <col min="12300" max="12300" width="25.36328125" style="2" customWidth="1"/>
    <col min="12301" max="12301" width="28.90625" style="2" customWidth="1"/>
    <col min="12302" max="12302" width="24.08984375" style="2" customWidth="1"/>
    <col min="12303" max="12303" width="35.90625" style="2" customWidth="1"/>
    <col min="12304" max="12304" width="27.36328125" style="2" customWidth="1"/>
    <col min="12305" max="12305" width="31.08984375" style="2" customWidth="1"/>
    <col min="12306" max="12306" width="41.90625" style="2" customWidth="1"/>
    <col min="12307" max="12307" width="77.90625" style="2" customWidth="1"/>
    <col min="12308" max="12308" width="20.453125" style="2" customWidth="1"/>
    <col min="12309" max="12309" width="49.453125" style="2" customWidth="1"/>
    <col min="12310" max="12544" width="11.453125" style="2"/>
    <col min="12545" max="12545" width="24.90625" style="2" customWidth="1"/>
    <col min="12546" max="12546" width="35.54296875" style="2" customWidth="1"/>
    <col min="12547" max="12547" width="18.6328125" style="2" customWidth="1"/>
    <col min="12548" max="12548" width="18.36328125" style="2" customWidth="1"/>
    <col min="12549" max="12549" width="29.90625" style="2" customWidth="1"/>
    <col min="12550" max="12550" width="38.453125" style="2" customWidth="1"/>
    <col min="12551" max="12551" width="41.08984375" style="2" customWidth="1"/>
    <col min="12552" max="12552" width="31.453125" style="2" customWidth="1"/>
    <col min="12553" max="12553" width="30.08984375" style="2" customWidth="1"/>
    <col min="12554" max="12554" width="23.90625" style="2" customWidth="1"/>
    <col min="12555" max="12555" width="26.6328125" style="2" customWidth="1"/>
    <col min="12556" max="12556" width="25.36328125" style="2" customWidth="1"/>
    <col min="12557" max="12557" width="28.90625" style="2" customWidth="1"/>
    <col min="12558" max="12558" width="24.08984375" style="2" customWidth="1"/>
    <col min="12559" max="12559" width="35.90625" style="2" customWidth="1"/>
    <col min="12560" max="12560" width="27.36328125" style="2" customWidth="1"/>
    <col min="12561" max="12561" width="31.08984375" style="2" customWidth="1"/>
    <col min="12562" max="12562" width="41.90625" style="2" customWidth="1"/>
    <col min="12563" max="12563" width="77.90625" style="2" customWidth="1"/>
    <col min="12564" max="12564" width="20.453125" style="2" customWidth="1"/>
    <col min="12565" max="12565" width="49.453125" style="2" customWidth="1"/>
    <col min="12566" max="12800" width="11.453125" style="2"/>
    <col min="12801" max="12801" width="24.90625" style="2" customWidth="1"/>
    <col min="12802" max="12802" width="35.54296875" style="2" customWidth="1"/>
    <col min="12803" max="12803" width="18.6328125" style="2" customWidth="1"/>
    <col min="12804" max="12804" width="18.36328125" style="2" customWidth="1"/>
    <col min="12805" max="12805" width="29.90625" style="2" customWidth="1"/>
    <col min="12806" max="12806" width="38.453125" style="2" customWidth="1"/>
    <col min="12807" max="12807" width="41.08984375" style="2" customWidth="1"/>
    <col min="12808" max="12808" width="31.453125" style="2" customWidth="1"/>
    <col min="12809" max="12809" width="30.08984375" style="2" customWidth="1"/>
    <col min="12810" max="12810" width="23.90625" style="2" customWidth="1"/>
    <col min="12811" max="12811" width="26.6328125" style="2" customWidth="1"/>
    <col min="12812" max="12812" width="25.36328125" style="2" customWidth="1"/>
    <col min="12813" max="12813" width="28.90625" style="2" customWidth="1"/>
    <col min="12814" max="12814" width="24.08984375" style="2" customWidth="1"/>
    <col min="12815" max="12815" width="35.90625" style="2" customWidth="1"/>
    <col min="12816" max="12816" width="27.36328125" style="2" customWidth="1"/>
    <col min="12817" max="12817" width="31.08984375" style="2" customWidth="1"/>
    <col min="12818" max="12818" width="41.90625" style="2" customWidth="1"/>
    <col min="12819" max="12819" width="77.90625" style="2" customWidth="1"/>
    <col min="12820" max="12820" width="20.453125" style="2" customWidth="1"/>
    <col min="12821" max="12821" width="49.453125" style="2" customWidth="1"/>
    <col min="12822" max="13056" width="11.453125" style="2"/>
    <col min="13057" max="13057" width="24.90625" style="2" customWidth="1"/>
    <col min="13058" max="13058" width="35.54296875" style="2" customWidth="1"/>
    <col min="13059" max="13059" width="18.6328125" style="2" customWidth="1"/>
    <col min="13060" max="13060" width="18.36328125" style="2" customWidth="1"/>
    <col min="13061" max="13061" width="29.90625" style="2" customWidth="1"/>
    <col min="13062" max="13062" width="38.453125" style="2" customWidth="1"/>
    <col min="13063" max="13063" width="41.08984375" style="2" customWidth="1"/>
    <col min="13064" max="13064" width="31.453125" style="2" customWidth="1"/>
    <col min="13065" max="13065" width="30.08984375" style="2" customWidth="1"/>
    <col min="13066" max="13066" width="23.90625" style="2" customWidth="1"/>
    <col min="13067" max="13067" width="26.6328125" style="2" customWidth="1"/>
    <col min="13068" max="13068" width="25.36328125" style="2" customWidth="1"/>
    <col min="13069" max="13069" width="28.90625" style="2" customWidth="1"/>
    <col min="13070" max="13070" width="24.08984375" style="2" customWidth="1"/>
    <col min="13071" max="13071" width="35.90625" style="2" customWidth="1"/>
    <col min="13072" max="13072" width="27.36328125" style="2" customWidth="1"/>
    <col min="13073" max="13073" width="31.08984375" style="2" customWidth="1"/>
    <col min="13074" max="13074" width="41.90625" style="2" customWidth="1"/>
    <col min="13075" max="13075" width="77.90625" style="2" customWidth="1"/>
    <col min="13076" max="13076" width="20.453125" style="2" customWidth="1"/>
    <col min="13077" max="13077" width="49.453125" style="2" customWidth="1"/>
    <col min="13078" max="13312" width="11.453125" style="2"/>
    <col min="13313" max="13313" width="24.90625" style="2" customWidth="1"/>
    <col min="13314" max="13314" width="35.54296875" style="2" customWidth="1"/>
    <col min="13315" max="13315" width="18.6328125" style="2" customWidth="1"/>
    <col min="13316" max="13316" width="18.36328125" style="2" customWidth="1"/>
    <col min="13317" max="13317" width="29.90625" style="2" customWidth="1"/>
    <col min="13318" max="13318" width="38.453125" style="2" customWidth="1"/>
    <col min="13319" max="13319" width="41.08984375" style="2" customWidth="1"/>
    <col min="13320" max="13320" width="31.453125" style="2" customWidth="1"/>
    <col min="13321" max="13321" width="30.08984375" style="2" customWidth="1"/>
    <col min="13322" max="13322" width="23.90625" style="2" customWidth="1"/>
    <col min="13323" max="13323" width="26.6328125" style="2" customWidth="1"/>
    <col min="13324" max="13324" width="25.36328125" style="2" customWidth="1"/>
    <col min="13325" max="13325" width="28.90625" style="2" customWidth="1"/>
    <col min="13326" max="13326" width="24.08984375" style="2" customWidth="1"/>
    <col min="13327" max="13327" width="35.90625" style="2" customWidth="1"/>
    <col min="13328" max="13328" width="27.36328125" style="2" customWidth="1"/>
    <col min="13329" max="13329" width="31.08984375" style="2" customWidth="1"/>
    <col min="13330" max="13330" width="41.90625" style="2" customWidth="1"/>
    <col min="13331" max="13331" width="77.90625" style="2" customWidth="1"/>
    <col min="13332" max="13332" width="20.453125" style="2" customWidth="1"/>
    <col min="13333" max="13333" width="49.453125" style="2" customWidth="1"/>
    <col min="13334" max="13568" width="11.453125" style="2"/>
    <col min="13569" max="13569" width="24.90625" style="2" customWidth="1"/>
    <col min="13570" max="13570" width="35.54296875" style="2" customWidth="1"/>
    <col min="13571" max="13571" width="18.6328125" style="2" customWidth="1"/>
    <col min="13572" max="13572" width="18.36328125" style="2" customWidth="1"/>
    <col min="13573" max="13573" width="29.90625" style="2" customWidth="1"/>
    <col min="13574" max="13574" width="38.453125" style="2" customWidth="1"/>
    <col min="13575" max="13575" width="41.08984375" style="2" customWidth="1"/>
    <col min="13576" max="13576" width="31.453125" style="2" customWidth="1"/>
    <col min="13577" max="13577" width="30.08984375" style="2" customWidth="1"/>
    <col min="13578" max="13578" width="23.90625" style="2" customWidth="1"/>
    <col min="13579" max="13579" width="26.6328125" style="2" customWidth="1"/>
    <col min="13580" max="13580" width="25.36328125" style="2" customWidth="1"/>
    <col min="13581" max="13581" width="28.90625" style="2" customWidth="1"/>
    <col min="13582" max="13582" width="24.08984375" style="2" customWidth="1"/>
    <col min="13583" max="13583" width="35.90625" style="2" customWidth="1"/>
    <col min="13584" max="13584" width="27.36328125" style="2" customWidth="1"/>
    <col min="13585" max="13585" width="31.08984375" style="2" customWidth="1"/>
    <col min="13586" max="13586" width="41.90625" style="2" customWidth="1"/>
    <col min="13587" max="13587" width="77.90625" style="2" customWidth="1"/>
    <col min="13588" max="13588" width="20.453125" style="2" customWidth="1"/>
    <col min="13589" max="13589" width="49.453125" style="2" customWidth="1"/>
    <col min="13590" max="13824" width="11.453125" style="2"/>
    <col min="13825" max="13825" width="24.90625" style="2" customWidth="1"/>
    <col min="13826" max="13826" width="35.54296875" style="2" customWidth="1"/>
    <col min="13827" max="13827" width="18.6328125" style="2" customWidth="1"/>
    <col min="13828" max="13828" width="18.36328125" style="2" customWidth="1"/>
    <col min="13829" max="13829" width="29.90625" style="2" customWidth="1"/>
    <col min="13830" max="13830" width="38.453125" style="2" customWidth="1"/>
    <col min="13831" max="13831" width="41.08984375" style="2" customWidth="1"/>
    <col min="13832" max="13832" width="31.453125" style="2" customWidth="1"/>
    <col min="13833" max="13833" width="30.08984375" style="2" customWidth="1"/>
    <col min="13834" max="13834" width="23.90625" style="2" customWidth="1"/>
    <col min="13835" max="13835" width="26.6328125" style="2" customWidth="1"/>
    <col min="13836" max="13836" width="25.36328125" style="2" customWidth="1"/>
    <col min="13837" max="13837" width="28.90625" style="2" customWidth="1"/>
    <col min="13838" max="13838" width="24.08984375" style="2" customWidth="1"/>
    <col min="13839" max="13839" width="35.90625" style="2" customWidth="1"/>
    <col min="13840" max="13840" width="27.36328125" style="2" customWidth="1"/>
    <col min="13841" max="13841" width="31.08984375" style="2" customWidth="1"/>
    <col min="13842" max="13842" width="41.90625" style="2" customWidth="1"/>
    <col min="13843" max="13843" width="77.90625" style="2" customWidth="1"/>
    <col min="13844" max="13844" width="20.453125" style="2" customWidth="1"/>
    <col min="13845" max="13845" width="49.453125" style="2" customWidth="1"/>
    <col min="13846" max="14080" width="11.453125" style="2"/>
    <col min="14081" max="14081" width="24.90625" style="2" customWidth="1"/>
    <col min="14082" max="14082" width="35.54296875" style="2" customWidth="1"/>
    <col min="14083" max="14083" width="18.6328125" style="2" customWidth="1"/>
    <col min="14084" max="14084" width="18.36328125" style="2" customWidth="1"/>
    <col min="14085" max="14085" width="29.90625" style="2" customWidth="1"/>
    <col min="14086" max="14086" width="38.453125" style="2" customWidth="1"/>
    <col min="14087" max="14087" width="41.08984375" style="2" customWidth="1"/>
    <col min="14088" max="14088" width="31.453125" style="2" customWidth="1"/>
    <col min="14089" max="14089" width="30.08984375" style="2" customWidth="1"/>
    <col min="14090" max="14090" width="23.90625" style="2" customWidth="1"/>
    <col min="14091" max="14091" width="26.6328125" style="2" customWidth="1"/>
    <col min="14092" max="14092" width="25.36328125" style="2" customWidth="1"/>
    <col min="14093" max="14093" width="28.90625" style="2" customWidth="1"/>
    <col min="14094" max="14094" width="24.08984375" style="2" customWidth="1"/>
    <col min="14095" max="14095" width="35.90625" style="2" customWidth="1"/>
    <col min="14096" max="14096" width="27.36328125" style="2" customWidth="1"/>
    <col min="14097" max="14097" width="31.08984375" style="2" customWidth="1"/>
    <col min="14098" max="14098" width="41.90625" style="2" customWidth="1"/>
    <col min="14099" max="14099" width="77.90625" style="2" customWidth="1"/>
    <col min="14100" max="14100" width="20.453125" style="2" customWidth="1"/>
    <col min="14101" max="14101" width="49.453125" style="2" customWidth="1"/>
    <col min="14102" max="14336" width="11.453125" style="2"/>
    <col min="14337" max="14337" width="24.90625" style="2" customWidth="1"/>
    <col min="14338" max="14338" width="35.54296875" style="2" customWidth="1"/>
    <col min="14339" max="14339" width="18.6328125" style="2" customWidth="1"/>
    <col min="14340" max="14340" width="18.36328125" style="2" customWidth="1"/>
    <col min="14341" max="14341" width="29.90625" style="2" customWidth="1"/>
    <col min="14342" max="14342" width="38.453125" style="2" customWidth="1"/>
    <col min="14343" max="14343" width="41.08984375" style="2" customWidth="1"/>
    <col min="14344" max="14344" width="31.453125" style="2" customWidth="1"/>
    <col min="14345" max="14345" width="30.08984375" style="2" customWidth="1"/>
    <col min="14346" max="14346" width="23.90625" style="2" customWidth="1"/>
    <col min="14347" max="14347" width="26.6328125" style="2" customWidth="1"/>
    <col min="14348" max="14348" width="25.36328125" style="2" customWidth="1"/>
    <col min="14349" max="14349" width="28.90625" style="2" customWidth="1"/>
    <col min="14350" max="14350" width="24.08984375" style="2" customWidth="1"/>
    <col min="14351" max="14351" width="35.90625" style="2" customWidth="1"/>
    <col min="14352" max="14352" width="27.36328125" style="2" customWidth="1"/>
    <col min="14353" max="14353" width="31.08984375" style="2" customWidth="1"/>
    <col min="14354" max="14354" width="41.90625" style="2" customWidth="1"/>
    <col min="14355" max="14355" width="77.90625" style="2" customWidth="1"/>
    <col min="14356" max="14356" width="20.453125" style="2" customWidth="1"/>
    <col min="14357" max="14357" width="49.453125" style="2" customWidth="1"/>
    <col min="14358" max="14592" width="11.453125" style="2"/>
    <col min="14593" max="14593" width="24.90625" style="2" customWidth="1"/>
    <col min="14594" max="14594" width="35.54296875" style="2" customWidth="1"/>
    <col min="14595" max="14595" width="18.6328125" style="2" customWidth="1"/>
    <col min="14596" max="14596" width="18.36328125" style="2" customWidth="1"/>
    <col min="14597" max="14597" width="29.90625" style="2" customWidth="1"/>
    <col min="14598" max="14598" width="38.453125" style="2" customWidth="1"/>
    <col min="14599" max="14599" width="41.08984375" style="2" customWidth="1"/>
    <col min="14600" max="14600" width="31.453125" style="2" customWidth="1"/>
    <col min="14601" max="14601" width="30.08984375" style="2" customWidth="1"/>
    <col min="14602" max="14602" width="23.90625" style="2" customWidth="1"/>
    <col min="14603" max="14603" width="26.6328125" style="2" customWidth="1"/>
    <col min="14604" max="14604" width="25.36328125" style="2" customWidth="1"/>
    <col min="14605" max="14605" width="28.90625" style="2" customWidth="1"/>
    <col min="14606" max="14606" width="24.08984375" style="2" customWidth="1"/>
    <col min="14607" max="14607" width="35.90625" style="2" customWidth="1"/>
    <col min="14608" max="14608" width="27.36328125" style="2" customWidth="1"/>
    <col min="14609" max="14609" width="31.08984375" style="2" customWidth="1"/>
    <col min="14610" max="14610" width="41.90625" style="2" customWidth="1"/>
    <col min="14611" max="14611" width="77.90625" style="2" customWidth="1"/>
    <col min="14612" max="14612" width="20.453125" style="2" customWidth="1"/>
    <col min="14613" max="14613" width="49.453125" style="2" customWidth="1"/>
    <col min="14614" max="14848" width="11.453125" style="2"/>
    <col min="14849" max="14849" width="24.90625" style="2" customWidth="1"/>
    <col min="14850" max="14850" width="35.54296875" style="2" customWidth="1"/>
    <col min="14851" max="14851" width="18.6328125" style="2" customWidth="1"/>
    <col min="14852" max="14852" width="18.36328125" style="2" customWidth="1"/>
    <col min="14853" max="14853" width="29.90625" style="2" customWidth="1"/>
    <col min="14854" max="14854" width="38.453125" style="2" customWidth="1"/>
    <col min="14855" max="14855" width="41.08984375" style="2" customWidth="1"/>
    <col min="14856" max="14856" width="31.453125" style="2" customWidth="1"/>
    <col min="14857" max="14857" width="30.08984375" style="2" customWidth="1"/>
    <col min="14858" max="14858" width="23.90625" style="2" customWidth="1"/>
    <col min="14859" max="14859" width="26.6328125" style="2" customWidth="1"/>
    <col min="14860" max="14860" width="25.36328125" style="2" customWidth="1"/>
    <col min="14861" max="14861" width="28.90625" style="2" customWidth="1"/>
    <col min="14862" max="14862" width="24.08984375" style="2" customWidth="1"/>
    <col min="14863" max="14863" width="35.90625" style="2" customWidth="1"/>
    <col min="14864" max="14864" width="27.36328125" style="2" customWidth="1"/>
    <col min="14865" max="14865" width="31.08984375" style="2" customWidth="1"/>
    <col min="14866" max="14866" width="41.90625" style="2" customWidth="1"/>
    <col min="14867" max="14867" width="77.90625" style="2" customWidth="1"/>
    <col min="14868" max="14868" width="20.453125" style="2" customWidth="1"/>
    <col min="14869" max="14869" width="49.453125" style="2" customWidth="1"/>
    <col min="14870" max="15104" width="11.453125" style="2"/>
    <col min="15105" max="15105" width="24.90625" style="2" customWidth="1"/>
    <col min="15106" max="15106" width="35.54296875" style="2" customWidth="1"/>
    <col min="15107" max="15107" width="18.6328125" style="2" customWidth="1"/>
    <col min="15108" max="15108" width="18.36328125" style="2" customWidth="1"/>
    <col min="15109" max="15109" width="29.90625" style="2" customWidth="1"/>
    <col min="15110" max="15110" width="38.453125" style="2" customWidth="1"/>
    <col min="15111" max="15111" width="41.08984375" style="2" customWidth="1"/>
    <col min="15112" max="15112" width="31.453125" style="2" customWidth="1"/>
    <col min="15113" max="15113" width="30.08984375" style="2" customWidth="1"/>
    <col min="15114" max="15114" width="23.90625" style="2" customWidth="1"/>
    <col min="15115" max="15115" width="26.6328125" style="2" customWidth="1"/>
    <col min="15116" max="15116" width="25.36328125" style="2" customWidth="1"/>
    <col min="15117" max="15117" width="28.90625" style="2" customWidth="1"/>
    <col min="15118" max="15118" width="24.08984375" style="2" customWidth="1"/>
    <col min="15119" max="15119" width="35.90625" style="2" customWidth="1"/>
    <col min="15120" max="15120" width="27.36328125" style="2" customWidth="1"/>
    <col min="15121" max="15121" width="31.08984375" style="2" customWidth="1"/>
    <col min="15122" max="15122" width="41.90625" style="2" customWidth="1"/>
    <col min="15123" max="15123" width="77.90625" style="2" customWidth="1"/>
    <col min="15124" max="15124" width="20.453125" style="2" customWidth="1"/>
    <col min="15125" max="15125" width="49.453125" style="2" customWidth="1"/>
    <col min="15126" max="15360" width="11.453125" style="2"/>
    <col min="15361" max="15361" width="24.90625" style="2" customWidth="1"/>
    <col min="15362" max="15362" width="35.54296875" style="2" customWidth="1"/>
    <col min="15363" max="15363" width="18.6328125" style="2" customWidth="1"/>
    <col min="15364" max="15364" width="18.36328125" style="2" customWidth="1"/>
    <col min="15365" max="15365" width="29.90625" style="2" customWidth="1"/>
    <col min="15366" max="15366" width="38.453125" style="2" customWidth="1"/>
    <col min="15367" max="15367" width="41.08984375" style="2" customWidth="1"/>
    <col min="15368" max="15368" width="31.453125" style="2" customWidth="1"/>
    <col min="15369" max="15369" width="30.08984375" style="2" customWidth="1"/>
    <col min="15370" max="15370" width="23.90625" style="2" customWidth="1"/>
    <col min="15371" max="15371" width="26.6328125" style="2" customWidth="1"/>
    <col min="15372" max="15372" width="25.36328125" style="2" customWidth="1"/>
    <col min="15373" max="15373" width="28.90625" style="2" customWidth="1"/>
    <col min="15374" max="15374" width="24.08984375" style="2" customWidth="1"/>
    <col min="15375" max="15375" width="35.90625" style="2" customWidth="1"/>
    <col min="15376" max="15376" width="27.36328125" style="2" customWidth="1"/>
    <col min="15377" max="15377" width="31.08984375" style="2" customWidth="1"/>
    <col min="15378" max="15378" width="41.90625" style="2" customWidth="1"/>
    <col min="15379" max="15379" width="77.90625" style="2" customWidth="1"/>
    <col min="15380" max="15380" width="20.453125" style="2" customWidth="1"/>
    <col min="15381" max="15381" width="49.453125" style="2" customWidth="1"/>
    <col min="15382" max="15616" width="11.453125" style="2"/>
    <col min="15617" max="15617" width="24.90625" style="2" customWidth="1"/>
    <col min="15618" max="15618" width="35.54296875" style="2" customWidth="1"/>
    <col min="15619" max="15619" width="18.6328125" style="2" customWidth="1"/>
    <col min="15620" max="15620" width="18.36328125" style="2" customWidth="1"/>
    <col min="15621" max="15621" width="29.90625" style="2" customWidth="1"/>
    <col min="15622" max="15622" width="38.453125" style="2" customWidth="1"/>
    <col min="15623" max="15623" width="41.08984375" style="2" customWidth="1"/>
    <col min="15624" max="15624" width="31.453125" style="2" customWidth="1"/>
    <col min="15625" max="15625" width="30.08984375" style="2" customWidth="1"/>
    <col min="15626" max="15626" width="23.90625" style="2" customWidth="1"/>
    <col min="15627" max="15627" width="26.6328125" style="2" customWidth="1"/>
    <col min="15628" max="15628" width="25.36328125" style="2" customWidth="1"/>
    <col min="15629" max="15629" width="28.90625" style="2" customWidth="1"/>
    <col min="15630" max="15630" width="24.08984375" style="2" customWidth="1"/>
    <col min="15631" max="15631" width="35.90625" style="2" customWidth="1"/>
    <col min="15632" max="15632" width="27.36328125" style="2" customWidth="1"/>
    <col min="15633" max="15633" width="31.08984375" style="2" customWidth="1"/>
    <col min="15634" max="15634" width="41.90625" style="2" customWidth="1"/>
    <col min="15635" max="15635" width="77.90625" style="2" customWidth="1"/>
    <col min="15636" max="15636" width="20.453125" style="2" customWidth="1"/>
    <col min="15637" max="15637" width="49.453125" style="2" customWidth="1"/>
    <col min="15638" max="15872" width="11.453125" style="2"/>
    <col min="15873" max="15873" width="24.90625" style="2" customWidth="1"/>
    <col min="15874" max="15874" width="35.54296875" style="2" customWidth="1"/>
    <col min="15875" max="15875" width="18.6328125" style="2" customWidth="1"/>
    <col min="15876" max="15876" width="18.36328125" style="2" customWidth="1"/>
    <col min="15877" max="15877" width="29.90625" style="2" customWidth="1"/>
    <col min="15878" max="15878" width="38.453125" style="2" customWidth="1"/>
    <col min="15879" max="15879" width="41.08984375" style="2" customWidth="1"/>
    <col min="15880" max="15880" width="31.453125" style="2" customWidth="1"/>
    <col min="15881" max="15881" width="30.08984375" style="2" customWidth="1"/>
    <col min="15882" max="15882" width="23.90625" style="2" customWidth="1"/>
    <col min="15883" max="15883" width="26.6328125" style="2" customWidth="1"/>
    <col min="15884" max="15884" width="25.36328125" style="2" customWidth="1"/>
    <col min="15885" max="15885" width="28.90625" style="2" customWidth="1"/>
    <col min="15886" max="15886" width="24.08984375" style="2" customWidth="1"/>
    <col min="15887" max="15887" width="35.90625" style="2" customWidth="1"/>
    <col min="15888" max="15888" width="27.36328125" style="2" customWidth="1"/>
    <col min="15889" max="15889" width="31.08984375" style="2" customWidth="1"/>
    <col min="15890" max="15890" width="41.90625" style="2" customWidth="1"/>
    <col min="15891" max="15891" width="77.90625" style="2" customWidth="1"/>
    <col min="15892" max="15892" width="20.453125" style="2" customWidth="1"/>
    <col min="15893" max="15893" width="49.453125" style="2" customWidth="1"/>
    <col min="15894" max="16128" width="11.453125" style="2"/>
    <col min="16129" max="16129" width="24.90625" style="2" customWidth="1"/>
    <col min="16130" max="16130" width="35.54296875" style="2" customWidth="1"/>
    <col min="16131" max="16131" width="18.6328125" style="2" customWidth="1"/>
    <col min="16132" max="16132" width="18.36328125" style="2" customWidth="1"/>
    <col min="16133" max="16133" width="29.90625" style="2" customWidth="1"/>
    <col min="16134" max="16134" width="38.453125" style="2" customWidth="1"/>
    <col min="16135" max="16135" width="41.08984375" style="2" customWidth="1"/>
    <col min="16136" max="16136" width="31.453125" style="2" customWidth="1"/>
    <col min="16137" max="16137" width="30.08984375" style="2" customWidth="1"/>
    <col min="16138" max="16138" width="23.90625" style="2" customWidth="1"/>
    <col min="16139" max="16139" width="26.6328125" style="2" customWidth="1"/>
    <col min="16140" max="16140" width="25.36328125" style="2" customWidth="1"/>
    <col min="16141" max="16141" width="28.90625" style="2" customWidth="1"/>
    <col min="16142" max="16142" width="24.08984375" style="2" customWidth="1"/>
    <col min="16143" max="16143" width="35.90625" style="2" customWidth="1"/>
    <col min="16144" max="16144" width="27.36328125" style="2" customWidth="1"/>
    <col min="16145" max="16145" width="31.08984375" style="2" customWidth="1"/>
    <col min="16146" max="16146" width="41.90625" style="2" customWidth="1"/>
    <col min="16147" max="16147" width="77.90625" style="2" customWidth="1"/>
    <col min="16148" max="16148" width="20.453125" style="2" customWidth="1"/>
    <col min="16149" max="16149" width="49.453125" style="2" customWidth="1"/>
    <col min="16150" max="16384" width="11.453125" style="2"/>
  </cols>
  <sheetData>
    <row r="1" spans="1:16" ht="30.5" x14ac:dyDescent="0.25">
      <c r="A1" s="744"/>
      <c r="B1" s="744"/>
      <c r="C1" s="744"/>
      <c r="D1" s="744"/>
      <c r="E1" s="9"/>
      <c r="F1" s="9"/>
      <c r="G1" s="9"/>
      <c r="H1" s="9"/>
      <c r="I1" s="9"/>
      <c r="J1" s="9"/>
      <c r="K1" s="9"/>
      <c r="L1" s="9"/>
      <c r="M1" s="9"/>
      <c r="N1" s="9"/>
      <c r="O1" s="9"/>
      <c r="P1" s="9"/>
    </row>
    <row r="2" spans="1:16" ht="17.5" x14ac:dyDescent="0.25">
      <c r="A2" s="830" t="s">
        <v>20</v>
      </c>
      <c r="B2" s="831"/>
      <c r="C2" s="831"/>
      <c r="D2" s="831"/>
      <c r="E2" s="831"/>
      <c r="F2" s="831"/>
      <c r="G2" s="831"/>
      <c r="H2" s="831"/>
      <c r="I2" s="831"/>
      <c r="J2" s="831"/>
      <c r="K2" s="831"/>
      <c r="L2" s="831"/>
      <c r="M2" s="831"/>
      <c r="N2" s="831"/>
      <c r="O2" s="832"/>
      <c r="P2" s="63"/>
    </row>
    <row r="4" spans="1:16" s="4" customFormat="1" ht="8.25" customHeight="1" x14ac:dyDescent="0.35">
      <c r="A4" s="833" t="s">
        <v>0</v>
      </c>
      <c r="B4" s="833"/>
      <c r="C4" s="833" t="s">
        <v>26</v>
      </c>
      <c r="D4" s="982" t="s">
        <v>1</v>
      </c>
      <c r="E4" s="833" t="s">
        <v>2</v>
      </c>
      <c r="F4" s="833" t="s">
        <v>3</v>
      </c>
      <c r="G4" s="833" t="s">
        <v>1160</v>
      </c>
      <c r="H4" s="833"/>
      <c r="I4" s="833"/>
      <c r="J4" s="834" t="s">
        <v>4</v>
      </c>
      <c r="K4" s="834" t="s">
        <v>5</v>
      </c>
      <c r="L4" s="836" t="s">
        <v>1161</v>
      </c>
      <c r="M4" s="837"/>
      <c r="N4" s="834" t="s">
        <v>6</v>
      </c>
      <c r="O4" s="834" t="s">
        <v>7</v>
      </c>
      <c r="P4" s="64"/>
    </row>
    <row r="5" spans="1:16" s="4" customFormat="1" ht="31.5" customHeight="1" x14ac:dyDescent="0.35">
      <c r="A5" s="833"/>
      <c r="B5" s="833"/>
      <c r="C5" s="833"/>
      <c r="D5" s="982"/>
      <c r="E5" s="833"/>
      <c r="F5" s="833"/>
      <c r="G5" s="516" t="s">
        <v>31</v>
      </c>
      <c r="H5" s="516" t="s">
        <v>32</v>
      </c>
      <c r="I5" s="516" t="s">
        <v>43</v>
      </c>
      <c r="J5" s="835"/>
      <c r="K5" s="835"/>
      <c r="L5" s="516" t="s">
        <v>47</v>
      </c>
      <c r="M5" s="516" t="s">
        <v>48</v>
      </c>
      <c r="N5" s="835"/>
      <c r="O5" s="835"/>
      <c r="P5" s="64"/>
    </row>
    <row r="6" spans="1:16" s="4" customFormat="1" ht="27.75" customHeight="1" x14ac:dyDescent="0.35">
      <c r="A6" s="833"/>
      <c r="B6" s="833"/>
      <c r="C6" s="833"/>
      <c r="D6" s="982"/>
      <c r="E6" s="833"/>
      <c r="F6" s="833"/>
      <c r="G6" s="12" t="s">
        <v>35</v>
      </c>
      <c r="H6" s="13" t="s">
        <v>37</v>
      </c>
      <c r="I6" s="12" t="s">
        <v>40</v>
      </c>
      <c r="J6" s="835"/>
      <c r="K6" s="835"/>
      <c r="L6" s="11" t="s">
        <v>44</v>
      </c>
      <c r="M6" s="13" t="s">
        <v>52</v>
      </c>
      <c r="N6" s="835"/>
      <c r="O6" s="835"/>
      <c r="P6" s="64"/>
    </row>
    <row r="7" spans="1:16" s="4" customFormat="1" ht="27.75" customHeight="1" x14ac:dyDescent="0.35">
      <c r="A7" s="833"/>
      <c r="B7" s="833"/>
      <c r="C7" s="833"/>
      <c r="D7" s="982"/>
      <c r="E7" s="833"/>
      <c r="F7" s="833"/>
      <c r="G7" s="12" t="s">
        <v>34</v>
      </c>
      <c r="H7" s="13" t="s">
        <v>38</v>
      </c>
      <c r="I7" s="12" t="s">
        <v>41</v>
      </c>
      <c r="J7" s="835"/>
      <c r="K7" s="835"/>
      <c r="L7" s="10" t="s">
        <v>45</v>
      </c>
      <c r="M7" s="13" t="s">
        <v>50</v>
      </c>
      <c r="N7" s="835"/>
      <c r="O7" s="835"/>
      <c r="P7" s="64"/>
    </row>
    <row r="8" spans="1:16" s="4" customFormat="1" ht="39.75" customHeight="1" x14ac:dyDescent="0.35">
      <c r="A8" s="834"/>
      <c r="B8" s="834"/>
      <c r="C8" s="834"/>
      <c r="D8" s="983"/>
      <c r="E8" s="834"/>
      <c r="F8" s="834"/>
      <c r="G8" s="47" t="s">
        <v>36</v>
      </c>
      <c r="H8" s="48" t="s">
        <v>39</v>
      </c>
      <c r="I8" s="47" t="s">
        <v>42</v>
      </c>
      <c r="J8" s="835"/>
      <c r="K8" s="835"/>
      <c r="L8" s="42" t="s">
        <v>46</v>
      </c>
      <c r="M8" s="48" t="s">
        <v>51</v>
      </c>
      <c r="N8" s="835"/>
      <c r="O8" s="835"/>
      <c r="P8" s="64"/>
    </row>
    <row r="9" spans="1:16" ht="51" customHeight="1" x14ac:dyDescent="0.25">
      <c r="A9" s="962" t="s">
        <v>143</v>
      </c>
      <c r="B9" s="962"/>
      <c r="C9" s="956" t="s">
        <v>110</v>
      </c>
      <c r="D9" s="963" t="s">
        <v>898</v>
      </c>
      <c r="E9" s="958" t="s">
        <v>899</v>
      </c>
      <c r="F9" s="979" t="s">
        <v>900</v>
      </c>
      <c r="G9" s="898" t="s">
        <v>35</v>
      </c>
      <c r="H9" s="898"/>
      <c r="I9" s="898"/>
      <c r="J9" s="980" t="s">
        <v>901</v>
      </c>
      <c r="K9" s="981">
        <v>1</v>
      </c>
      <c r="L9" s="302" t="s">
        <v>44</v>
      </c>
      <c r="M9" s="303" t="s">
        <v>902</v>
      </c>
      <c r="N9" s="898" t="s">
        <v>1162</v>
      </c>
      <c r="O9" s="898" t="s">
        <v>1126</v>
      </c>
      <c r="P9" s="517"/>
    </row>
    <row r="10" spans="1:16" ht="51" customHeight="1" x14ac:dyDescent="0.25">
      <c r="A10" s="962"/>
      <c r="B10" s="962"/>
      <c r="C10" s="956"/>
      <c r="D10" s="963"/>
      <c r="E10" s="958"/>
      <c r="F10" s="979"/>
      <c r="G10" s="898"/>
      <c r="H10" s="898"/>
      <c r="I10" s="898"/>
      <c r="J10" s="980"/>
      <c r="K10" s="981"/>
      <c r="L10" s="302" t="s">
        <v>46</v>
      </c>
      <c r="M10" s="304" t="s">
        <v>903</v>
      </c>
      <c r="N10" s="898"/>
      <c r="O10" s="898"/>
      <c r="P10" s="517"/>
    </row>
    <row r="11" spans="1:16" ht="51" customHeight="1" x14ac:dyDescent="0.25">
      <c r="A11" s="962"/>
      <c r="B11" s="962"/>
      <c r="C11" s="956" t="s">
        <v>110</v>
      </c>
      <c r="D11" s="957" t="s">
        <v>1109</v>
      </c>
      <c r="E11" s="958" t="s">
        <v>1110</v>
      </c>
      <c r="F11" s="959" t="s">
        <v>160</v>
      </c>
      <c r="G11" s="898" t="s">
        <v>904</v>
      </c>
      <c r="H11" s="898"/>
      <c r="I11" s="898"/>
      <c r="J11" s="960" t="s">
        <v>901</v>
      </c>
      <c r="K11" s="961" t="s">
        <v>73</v>
      </c>
      <c r="L11" s="302" t="s">
        <v>44</v>
      </c>
      <c r="M11" s="303" t="s">
        <v>73</v>
      </c>
      <c r="N11" s="898" t="s">
        <v>1162</v>
      </c>
      <c r="O11" s="898" t="s">
        <v>1074</v>
      </c>
      <c r="P11" s="517"/>
    </row>
    <row r="12" spans="1:16" ht="51" customHeight="1" x14ac:dyDescent="0.25">
      <c r="A12" s="962"/>
      <c r="B12" s="962"/>
      <c r="C12" s="956"/>
      <c r="D12" s="957"/>
      <c r="E12" s="958"/>
      <c r="F12" s="959"/>
      <c r="G12" s="898"/>
      <c r="H12" s="898"/>
      <c r="I12" s="898"/>
      <c r="J12" s="960"/>
      <c r="K12" s="961"/>
      <c r="L12" s="305" t="s">
        <v>45</v>
      </c>
      <c r="M12" s="306" t="s">
        <v>161</v>
      </c>
      <c r="N12" s="898"/>
      <c r="O12" s="898"/>
      <c r="P12" s="517"/>
    </row>
    <row r="13" spans="1:16" ht="51" customHeight="1" x14ac:dyDescent="0.25">
      <c r="A13" s="962"/>
      <c r="B13" s="962"/>
      <c r="C13" s="956"/>
      <c r="D13" s="957"/>
      <c r="E13" s="958"/>
      <c r="F13" s="959"/>
      <c r="G13" s="898"/>
      <c r="H13" s="898"/>
      <c r="I13" s="898"/>
      <c r="J13" s="960"/>
      <c r="K13" s="961"/>
      <c r="L13" s="305" t="s">
        <v>46</v>
      </c>
      <c r="M13" s="304" t="s">
        <v>162</v>
      </c>
      <c r="N13" s="898"/>
      <c r="O13" s="898"/>
      <c r="P13" s="517"/>
    </row>
    <row r="14" spans="1:16" ht="51" customHeight="1" x14ac:dyDescent="0.25">
      <c r="A14" s="962"/>
      <c r="B14" s="962"/>
      <c r="C14" s="964" t="s">
        <v>67</v>
      </c>
      <c r="D14" s="963" t="s">
        <v>905</v>
      </c>
      <c r="E14" s="965" t="s">
        <v>906</v>
      </c>
      <c r="F14" s="966" t="s">
        <v>907</v>
      </c>
      <c r="G14" s="898" t="s">
        <v>34</v>
      </c>
      <c r="H14" s="898"/>
      <c r="I14" s="898"/>
      <c r="J14" s="960" t="s">
        <v>55</v>
      </c>
      <c r="K14" s="961" t="s">
        <v>73</v>
      </c>
      <c r="L14" s="302" t="s">
        <v>44</v>
      </c>
      <c r="M14" s="303" t="s">
        <v>73</v>
      </c>
      <c r="N14" s="898" t="s">
        <v>1162</v>
      </c>
      <c r="O14" s="898" t="s">
        <v>1127</v>
      </c>
      <c r="P14" s="517"/>
    </row>
    <row r="15" spans="1:16" ht="51" customHeight="1" x14ac:dyDescent="0.25">
      <c r="A15" s="962"/>
      <c r="B15" s="962"/>
      <c r="C15" s="964"/>
      <c r="D15" s="963"/>
      <c r="E15" s="965"/>
      <c r="F15" s="966"/>
      <c r="G15" s="898"/>
      <c r="H15" s="898"/>
      <c r="I15" s="898"/>
      <c r="J15" s="960"/>
      <c r="K15" s="961"/>
      <c r="L15" s="302" t="s">
        <v>45</v>
      </c>
      <c r="M15" s="306" t="s">
        <v>161</v>
      </c>
      <c r="N15" s="898"/>
      <c r="O15" s="898"/>
      <c r="P15" s="517"/>
    </row>
    <row r="16" spans="1:16" ht="51" customHeight="1" x14ac:dyDescent="0.25">
      <c r="A16" s="962"/>
      <c r="B16" s="962"/>
      <c r="C16" s="964"/>
      <c r="D16" s="963"/>
      <c r="E16" s="965"/>
      <c r="F16" s="966"/>
      <c r="G16" s="898"/>
      <c r="H16" s="898"/>
      <c r="I16" s="898"/>
      <c r="J16" s="960"/>
      <c r="K16" s="961"/>
      <c r="L16" s="302" t="s">
        <v>46</v>
      </c>
      <c r="M16" s="304" t="s">
        <v>71</v>
      </c>
      <c r="N16" s="898"/>
      <c r="O16" s="898"/>
      <c r="P16" s="517"/>
    </row>
    <row r="17" spans="1:16" ht="51" customHeight="1" x14ac:dyDescent="0.25">
      <c r="A17" s="962"/>
      <c r="B17" s="962"/>
      <c r="C17" s="964" t="s">
        <v>67</v>
      </c>
      <c r="D17" s="963" t="s">
        <v>908</v>
      </c>
      <c r="E17" s="965" t="s">
        <v>906</v>
      </c>
      <c r="F17" s="966" t="s">
        <v>907</v>
      </c>
      <c r="G17" s="967" t="s">
        <v>34</v>
      </c>
      <c r="H17" s="968"/>
      <c r="I17" s="969"/>
      <c r="J17" s="976" t="s">
        <v>55</v>
      </c>
      <c r="K17" s="961" t="s">
        <v>73</v>
      </c>
      <c r="L17" s="302" t="s">
        <v>44</v>
      </c>
      <c r="M17" s="303" t="s">
        <v>73</v>
      </c>
      <c r="N17" s="898" t="s">
        <v>1162</v>
      </c>
      <c r="O17" s="898" t="s">
        <v>1127</v>
      </c>
      <c r="P17" s="517"/>
    </row>
    <row r="18" spans="1:16" ht="51" customHeight="1" x14ac:dyDescent="0.25">
      <c r="A18" s="962"/>
      <c r="B18" s="962"/>
      <c r="C18" s="964"/>
      <c r="D18" s="963"/>
      <c r="E18" s="965"/>
      <c r="F18" s="966"/>
      <c r="G18" s="970"/>
      <c r="H18" s="971"/>
      <c r="I18" s="972"/>
      <c r="J18" s="977"/>
      <c r="K18" s="961"/>
      <c r="L18" s="302" t="s">
        <v>45</v>
      </c>
      <c r="M18" s="306" t="s">
        <v>161</v>
      </c>
      <c r="N18" s="898"/>
      <c r="O18" s="898"/>
      <c r="P18" s="517"/>
    </row>
    <row r="19" spans="1:16" ht="51" customHeight="1" x14ac:dyDescent="0.25">
      <c r="A19" s="962"/>
      <c r="B19" s="962"/>
      <c r="C19" s="964"/>
      <c r="D19" s="963"/>
      <c r="E19" s="965"/>
      <c r="F19" s="966"/>
      <c r="G19" s="973"/>
      <c r="H19" s="974"/>
      <c r="I19" s="975"/>
      <c r="J19" s="978"/>
      <c r="K19" s="961"/>
      <c r="L19" s="302" t="s">
        <v>46</v>
      </c>
      <c r="M19" s="304" t="s">
        <v>71</v>
      </c>
      <c r="N19" s="898"/>
      <c r="O19" s="898"/>
      <c r="P19" s="517"/>
    </row>
    <row r="20" spans="1:16" ht="60" customHeight="1" x14ac:dyDescent="0.25">
      <c r="A20" s="962"/>
      <c r="B20" s="962"/>
      <c r="C20" s="956" t="s">
        <v>67</v>
      </c>
      <c r="D20" s="963" t="s">
        <v>909</v>
      </c>
      <c r="E20" s="958" t="s">
        <v>910</v>
      </c>
      <c r="F20" s="959" t="s">
        <v>911</v>
      </c>
      <c r="G20" s="898" t="s">
        <v>912</v>
      </c>
      <c r="H20" s="898"/>
      <c r="I20" s="898"/>
      <c r="J20" s="960" t="s">
        <v>901</v>
      </c>
      <c r="K20" s="961" t="s">
        <v>73</v>
      </c>
      <c r="L20" s="305" t="s">
        <v>44</v>
      </c>
      <c r="M20" s="303" t="s">
        <v>73</v>
      </c>
      <c r="N20" s="898" t="s">
        <v>1162</v>
      </c>
      <c r="O20" s="898" t="s">
        <v>1127</v>
      </c>
      <c r="P20" s="517"/>
    </row>
    <row r="21" spans="1:16" ht="52.5" customHeight="1" x14ac:dyDescent="0.25">
      <c r="A21" s="962"/>
      <c r="B21" s="962"/>
      <c r="C21" s="956"/>
      <c r="D21" s="963"/>
      <c r="E21" s="958"/>
      <c r="F21" s="959"/>
      <c r="G21" s="898"/>
      <c r="H21" s="898"/>
      <c r="I21" s="898"/>
      <c r="J21" s="960"/>
      <c r="K21" s="961"/>
      <c r="L21" s="305" t="s">
        <v>45</v>
      </c>
      <c r="M21" s="306" t="s">
        <v>161</v>
      </c>
      <c r="N21" s="898"/>
      <c r="O21" s="898"/>
      <c r="P21" s="517"/>
    </row>
    <row r="22" spans="1:16" ht="57.75" customHeight="1" x14ac:dyDescent="0.25">
      <c r="A22" s="962"/>
      <c r="B22" s="962"/>
      <c r="C22" s="956"/>
      <c r="D22" s="963"/>
      <c r="E22" s="958"/>
      <c r="F22" s="959"/>
      <c r="G22" s="898"/>
      <c r="H22" s="898"/>
      <c r="I22" s="898"/>
      <c r="J22" s="960"/>
      <c r="K22" s="961"/>
      <c r="L22" s="305" t="s">
        <v>46</v>
      </c>
      <c r="M22" s="304" t="s">
        <v>162</v>
      </c>
      <c r="N22" s="898"/>
      <c r="O22" s="898"/>
      <c r="P22" s="517"/>
    </row>
    <row r="23" spans="1:16" ht="51" customHeight="1" x14ac:dyDescent="0.25">
      <c r="A23" s="962"/>
      <c r="B23" s="962"/>
      <c r="C23" s="956" t="s">
        <v>67</v>
      </c>
      <c r="D23" s="963" t="s">
        <v>913</v>
      </c>
      <c r="E23" s="958" t="s">
        <v>914</v>
      </c>
      <c r="F23" s="959" t="s">
        <v>915</v>
      </c>
      <c r="G23" s="898" t="s">
        <v>34</v>
      </c>
      <c r="H23" s="898"/>
      <c r="I23" s="898"/>
      <c r="J23" s="960" t="s">
        <v>901</v>
      </c>
      <c r="K23" s="961">
        <v>1</v>
      </c>
      <c r="L23" s="305" t="s">
        <v>44</v>
      </c>
      <c r="M23" s="307" t="s">
        <v>916</v>
      </c>
      <c r="N23" s="898" t="s">
        <v>1162</v>
      </c>
      <c r="O23" s="898" t="s">
        <v>1127</v>
      </c>
      <c r="P23" s="517"/>
    </row>
    <row r="24" spans="1:16" ht="51" customHeight="1" x14ac:dyDescent="0.25">
      <c r="A24" s="962"/>
      <c r="B24" s="962"/>
      <c r="C24" s="956"/>
      <c r="D24" s="963"/>
      <c r="E24" s="958"/>
      <c r="F24" s="959"/>
      <c r="G24" s="898"/>
      <c r="H24" s="898"/>
      <c r="I24" s="898"/>
      <c r="J24" s="960"/>
      <c r="K24" s="961"/>
      <c r="L24" s="305" t="s">
        <v>45</v>
      </c>
      <c r="M24" s="306" t="s">
        <v>60</v>
      </c>
      <c r="N24" s="898"/>
      <c r="O24" s="898"/>
      <c r="P24" s="517"/>
    </row>
    <row r="25" spans="1:16" ht="51" customHeight="1" x14ac:dyDescent="0.25">
      <c r="A25" s="962"/>
      <c r="B25" s="962"/>
      <c r="C25" s="956"/>
      <c r="D25" s="963"/>
      <c r="E25" s="958"/>
      <c r="F25" s="959"/>
      <c r="G25" s="898"/>
      <c r="H25" s="898"/>
      <c r="I25" s="898"/>
      <c r="J25" s="960"/>
      <c r="K25" s="961"/>
      <c r="L25" s="305" t="s">
        <v>46</v>
      </c>
      <c r="M25" s="304" t="s">
        <v>917</v>
      </c>
      <c r="N25" s="898"/>
      <c r="O25" s="898"/>
      <c r="P25" s="517"/>
    </row>
    <row r="26" spans="1:16" ht="74.25" customHeight="1" x14ac:dyDescent="0.25">
      <c r="A26" s="962"/>
      <c r="B26" s="962"/>
      <c r="C26" s="956" t="s">
        <v>53</v>
      </c>
      <c r="D26" s="957" t="s">
        <v>918</v>
      </c>
      <c r="E26" s="958" t="s">
        <v>802</v>
      </c>
      <c r="F26" s="959" t="s">
        <v>803</v>
      </c>
      <c r="G26" s="898" t="s">
        <v>912</v>
      </c>
      <c r="H26" s="898"/>
      <c r="I26" s="898"/>
      <c r="J26" s="960" t="s">
        <v>55</v>
      </c>
      <c r="K26" s="961" t="s">
        <v>57</v>
      </c>
      <c r="L26" s="302" t="s">
        <v>44</v>
      </c>
      <c r="M26" s="303" t="s">
        <v>57</v>
      </c>
      <c r="N26" s="898" t="s">
        <v>1162</v>
      </c>
      <c r="O26" s="898" t="s">
        <v>1128</v>
      </c>
      <c r="P26" s="517"/>
    </row>
    <row r="27" spans="1:16" ht="74.25" customHeight="1" x14ac:dyDescent="0.25">
      <c r="A27" s="962"/>
      <c r="B27" s="962"/>
      <c r="C27" s="956"/>
      <c r="D27" s="957"/>
      <c r="E27" s="958"/>
      <c r="F27" s="959"/>
      <c r="G27" s="898"/>
      <c r="H27" s="898"/>
      <c r="I27" s="898"/>
      <c r="J27" s="960"/>
      <c r="K27" s="961"/>
      <c r="L27" s="302" t="s">
        <v>45</v>
      </c>
      <c r="M27" s="306" t="s">
        <v>117</v>
      </c>
      <c r="N27" s="898"/>
      <c r="O27" s="898"/>
      <c r="P27" s="517"/>
    </row>
    <row r="28" spans="1:16" ht="74.25" customHeight="1" x14ac:dyDescent="0.25">
      <c r="A28" s="962"/>
      <c r="B28" s="962"/>
      <c r="C28" s="956"/>
      <c r="D28" s="957"/>
      <c r="E28" s="958"/>
      <c r="F28" s="959"/>
      <c r="G28" s="898"/>
      <c r="H28" s="898"/>
      <c r="I28" s="898"/>
      <c r="J28" s="960"/>
      <c r="K28" s="961"/>
      <c r="L28" s="302" t="s">
        <v>46</v>
      </c>
      <c r="M28" s="304" t="s">
        <v>104</v>
      </c>
      <c r="N28" s="898"/>
      <c r="O28" s="898"/>
      <c r="P28" s="517"/>
    </row>
    <row r="29" spans="1:16" ht="51" customHeight="1" x14ac:dyDescent="0.25">
      <c r="A29" s="449"/>
      <c r="B29" s="449"/>
      <c r="C29" s="956" t="s">
        <v>53</v>
      </c>
      <c r="D29" s="957" t="s">
        <v>1103</v>
      </c>
      <c r="E29" s="958" t="s">
        <v>1104</v>
      </c>
      <c r="F29" s="959" t="s">
        <v>1105</v>
      </c>
      <c r="G29" s="898" t="s">
        <v>912</v>
      </c>
      <c r="H29" s="898"/>
      <c r="I29" s="898"/>
      <c r="J29" s="960" t="s">
        <v>63</v>
      </c>
      <c r="K29" s="961" t="s">
        <v>1106</v>
      </c>
      <c r="L29" s="302" t="s">
        <v>44</v>
      </c>
      <c r="M29" s="446" t="s">
        <v>1115</v>
      </c>
      <c r="N29" s="898" t="s">
        <v>1107</v>
      </c>
      <c r="O29" s="898" t="s">
        <v>1118</v>
      </c>
      <c r="P29" s="517"/>
    </row>
    <row r="30" spans="1:16" ht="51" customHeight="1" x14ac:dyDescent="0.25">
      <c r="A30" s="449"/>
      <c r="B30" s="449"/>
      <c r="C30" s="956"/>
      <c r="D30" s="957"/>
      <c r="E30" s="958"/>
      <c r="F30" s="959"/>
      <c r="G30" s="898"/>
      <c r="H30" s="898"/>
      <c r="I30" s="898"/>
      <c r="J30" s="960"/>
      <c r="K30" s="961"/>
      <c r="L30" s="302" t="s">
        <v>45</v>
      </c>
      <c r="M30" s="447" t="s">
        <v>1116</v>
      </c>
      <c r="N30" s="898"/>
      <c r="O30" s="898"/>
      <c r="P30" s="517"/>
    </row>
    <row r="31" spans="1:16" ht="51" customHeight="1" x14ac:dyDescent="0.25">
      <c r="A31" s="449"/>
      <c r="B31" s="449"/>
      <c r="C31" s="956"/>
      <c r="D31" s="957"/>
      <c r="E31" s="958"/>
      <c r="F31" s="959"/>
      <c r="G31" s="898"/>
      <c r="H31" s="898"/>
      <c r="I31" s="898"/>
      <c r="J31" s="960"/>
      <c r="K31" s="961"/>
      <c r="L31" s="302" t="s">
        <v>46</v>
      </c>
      <c r="M31" s="448" t="s">
        <v>1117</v>
      </c>
      <c r="N31" s="898"/>
      <c r="O31" s="898"/>
      <c r="P31" s="517"/>
    </row>
    <row r="32" spans="1:16" ht="51" customHeight="1" x14ac:dyDescent="0.25">
      <c r="A32" s="449"/>
      <c r="B32" s="449"/>
      <c r="C32" s="956" t="s">
        <v>67</v>
      </c>
      <c r="D32" s="957" t="s">
        <v>1111</v>
      </c>
      <c r="E32" s="958" t="s">
        <v>1112</v>
      </c>
      <c r="F32" s="959" t="s">
        <v>1113</v>
      </c>
      <c r="G32" s="898" t="s">
        <v>912</v>
      </c>
      <c r="H32" s="898"/>
      <c r="I32" s="898"/>
      <c r="J32" s="960" t="s">
        <v>63</v>
      </c>
      <c r="K32" s="961" t="s">
        <v>1114</v>
      </c>
      <c r="L32" s="302" t="s">
        <v>44</v>
      </c>
      <c r="M32" s="446" t="s">
        <v>858</v>
      </c>
      <c r="N32" s="898" t="s">
        <v>1107</v>
      </c>
      <c r="O32" s="898" t="s">
        <v>1108</v>
      </c>
      <c r="P32" s="517"/>
    </row>
    <row r="33" spans="1:19" ht="51" customHeight="1" x14ac:dyDescent="0.25">
      <c r="A33" s="449"/>
      <c r="B33" s="449"/>
      <c r="C33" s="956"/>
      <c r="D33" s="957"/>
      <c r="E33" s="958"/>
      <c r="F33" s="959"/>
      <c r="G33" s="898"/>
      <c r="H33" s="898"/>
      <c r="I33" s="898"/>
      <c r="J33" s="960"/>
      <c r="K33" s="961"/>
      <c r="L33" s="302" t="s">
        <v>45</v>
      </c>
      <c r="M33" s="447" t="s">
        <v>859</v>
      </c>
      <c r="N33" s="898"/>
      <c r="O33" s="898"/>
      <c r="P33" s="517"/>
    </row>
    <row r="34" spans="1:19" ht="51" customHeight="1" x14ac:dyDescent="0.25">
      <c r="A34" s="449"/>
      <c r="B34" s="449"/>
      <c r="C34" s="956"/>
      <c r="D34" s="957"/>
      <c r="E34" s="958"/>
      <c r="F34" s="959"/>
      <c r="G34" s="898"/>
      <c r="H34" s="898"/>
      <c r="I34" s="898"/>
      <c r="J34" s="960"/>
      <c r="K34" s="961"/>
      <c r="L34" s="302" t="s">
        <v>46</v>
      </c>
      <c r="M34" s="448" t="s">
        <v>720</v>
      </c>
      <c r="N34" s="898"/>
      <c r="O34" s="898"/>
      <c r="P34" s="517"/>
    </row>
    <row r="35" spans="1:19" ht="52.5" customHeight="1" x14ac:dyDescent="0.25">
      <c r="A35" s="517"/>
      <c r="B35" s="517"/>
      <c r="C35" s="898" t="s">
        <v>67</v>
      </c>
      <c r="D35" s="984" t="s">
        <v>1119</v>
      </c>
      <c r="E35" s="898" t="s">
        <v>1121</v>
      </c>
      <c r="F35" s="985" t="s">
        <v>1122</v>
      </c>
      <c r="G35" s="898" t="s">
        <v>34</v>
      </c>
      <c r="H35" s="898"/>
      <c r="I35" s="898"/>
      <c r="J35" s="898" t="s">
        <v>63</v>
      </c>
      <c r="K35" s="986" t="s">
        <v>1120</v>
      </c>
      <c r="L35" s="450" t="s">
        <v>44</v>
      </c>
      <c r="M35" s="444" t="s">
        <v>1123</v>
      </c>
      <c r="N35" s="898" t="s">
        <v>58</v>
      </c>
      <c r="O35" s="898" t="s">
        <v>1108</v>
      </c>
    </row>
    <row r="36" spans="1:19" ht="52.5" customHeight="1" x14ac:dyDescent="0.25">
      <c r="A36" s="517"/>
      <c r="B36" s="517"/>
      <c r="C36" s="898"/>
      <c r="D36" s="984"/>
      <c r="E36" s="898"/>
      <c r="F36" s="985"/>
      <c r="G36" s="898"/>
      <c r="H36" s="898"/>
      <c r="I36" s="898"/>
      <c r="J36" s="898"/>
      <c r="K36" s="986"/>
      <c r="L36" s="450" t="s">
        <v>45</v>
      </c>
      <c r="M36" s="439" t="s">
        <v>1124</v>
      </c>
      <c r="N36" s="898"/>
      <c r="O36" s="898"/>
    </row>
    <row r="37" spans="1:19" ht="52.5" customHeight="1" x14ac:dyDescent="0.25">
      <c r="A37" s="517"/>
      <c r="B37" s="517"/>
      <c r="C37" s="898"/>
      <c r="D37" s="984"/>
      <c r="E37" s="898"/>
      <c r="F37" s="985"/>
      <c r="G37" s="898"/>
      <c r="H37" s="898"/>
      <c r="I37" s="898"/>
      <c r="J37" s="898"/>
      <c r="K37" s="986"/>
      <c r="L37" s="450" t="s">
        <v>46</v>
      </c>
      <c r="M37" s="445" t="s">
        <v>1125</v>
      </c>
      <c r="N37" s="898"/>
      <c r="O37" s="898"/>
    </row>
    <row r="38" spans="1:19" x14ac:dyDescent="0.25">
      <c r="A38" s="3"/>
      <c r="B38" s="3"/>
    </row>
    <row r="40" spans="1:19" ht="33" customHeight="1" x14ac:dyDescent="0.25">
      <c r="A40" s="885" t="str">
        <f>+D9</f>
        <v xml:space="preserve">Tiempo promedio de trámite para la resolución de autorizaciones ambientales otorgadas por la corporación </v>
      </c>
      <c r="B40" s="885"/>
      <c r="C40" s="885"/>
      <c r="D40" s="885"/>
      <c r="E40" s="885"/>
      <c r="F40" s="885"/>
      <c r="G40" s="885"/>
      <c r="H40" s="885"/>
      <c r="I40" s="885"/>
      <c r="J40" s="885"/>
      <c r="K40" s="885"/>
      <c r="L40" s="885"/>
      <c r="M40" s="885"/>
      <c r="N40" s="885"/>
      <c r="O40" s="885"/>
      <c r="P40" s="885"/>
      <c r="Q40" s="885"/>
      <c r="R40" s="885"/>
      <c r="S40" s="885"/>
    </row>
    <row r="41" spans="1:19" x14ac:dyDescent="0.25">
      <c r="A41" s="5"/>
    </row>
    <row r="42" spans="1:19" x14ac:dyDescent="0.25">
      <c r="A42" s="5"/>
      <c r="G42" s="28"/>
      <c r="I42" s="309"/>
      <c r="J42" s="309"/>
      <c r="K42" s="309"/>
      <c r="L42" s="309"/>
    </row>
    <row r="43" spans="1:19" s="316" customFormat="1" ht="11.5" x14ac:dyDescent="0.25">
      <c r="A43" s="950" t="s">
        <v>919</v>
      </c>
      <c r="B43" s="310" t="s">
        <v>920</v>
      </c>
      <c r="C43" s="311"/>
      <c r="D43" s="312" t="s">
        <v>921</v>
      </c>
      <c r="E43" s="313" t="s">
        <v>922</v>
      </c>
      <c r="F43" s="313" t="s">
        <v>923</v>
      </c>
      <c r="G43" s="313" t="s">
        <v>924</v>
      </c>
      <c r="H43" s="314"/>
      <c r="I43" s="315"/>
    </row>
    <row r="44" spans="1:19" s="316" customFormat="1" ht="23" x14ac:dyDescent="0.25">
      <c r="A44" s="950"/>
      <c r="B44" s="310"/>
      <c r="C44" s="311"/>
      <c r="D44" s="529" t="s">
        <v>1163</v>
      </c>
      <c r="E44" s="529" t="s">
        <v>1164</v>
      </c>
      <c r="F44" s="317" t="s">
        <v>926</v>
      </c>
      <c r="G44" s="317" t="s">
        <v>926</v>
      </c>
      <c r="H44" s="314"/>
      <c r="I44" s="315"/>
    </row>
    <row r="45" spans="1:19" s="316" customFormat="1" ht="11.5" x14ac:dyDescent="0.25">
      <c r="A45" s="951" t="s">
        <v>927</v>
      </c>
      <c r="B45" s="1098" t="s">
        <v>928</v>
      </c>
      <c r="C45" s="311" t="s">
        <v>929</v>
      </c>
      <c r="D45" s="318">
        <v>175</v>
      </c>
      <c r="E45" s="318" t="s">
        <v>948</v>
      </c>
      <c r="F45" s="319"/>
      <c r="G45" s="320"/>
      <c r="H45" s="314"/>
      <c r="I45" s="315"/>
    </row>
    <row r="46" spans="1:19" s="316" customFormat="1" ht="11.5" x14ac:dyDescent="0.25">
      <c r="A46" s="952"/>
      <c r="B46" s="1098"/>
      <c r="C46" s="311" t="s">
        <v>930</v>
      </c>
      <c r="D46" s="321">
        <f>191+168</f>
        <v>359</v>
      </c>
      <c r="E46" s="321" t="s">
        <v>948</v>
      </c>
      <c r="F46" s="319"/>
      <c r="G46" s="320"/>
      <c r="H46" s="314"/>
      <c r="I46" s="315"/>
    </row>
    <row r="47" spans="1:19" s="316" customFormat="1" ht="11.5" x14ac:dyDescent="0.25">
      <c r="A47" s="952"/>
      <c r="B47" s="1098"/>
      <c r="C47" s="311" t="s">
        <v>931</v>
      </c>
      <c r="D47" s="322" t="s">
        <v>948</v>
      </c>
      <c r="E47" s="322" t="s">
        <v>948</v>
      </c>
      <c r="F47" s="319"/>
      <c r="G47" s="320"/>
      <c r="H47" s="314"/>
      <c r="I47" s="315"/>
    </row>
    <row r="48" spans="1:19" s="316" customFormat="1" ht="11.5" x14ac:dyDescent="0.25">
      <c r="A48" s="952"/>
      <c r="B48" s="1098"/>
      <c r="C48" s="311" t="s">
        <v>932</v>
      </c>
      <c r="D48" s="318" t="s">
        <v>948</v>
      </c>
      <c r="E48" s="318" t="s">
        <v>948</v>
      </c>
      <c r="F48" s="319"/>
      <c r="G48" s="320"/>
      <c r="H48" s="314"/>
      <c r="I48" s="315"/>
    </row>
    <row r="49" spans="1:9" s="316" customFormat="1" ht="11.5" x14ac:dyDescent="0.25">
      <c r="A49" s="952"/>
      <c r="B49" s="1098"/>
      <c r="C49" s="323" t="s">
        <v>81</v>
      </c>
      <c r="D49" s="324">
        <f>SUM(D45:D48)</f>
        <v>534</v>
      </c>
      <c r="E49" s="324"/>
      <c r="F49" s="325"/>
      <c r="G49" s="326"/>
      <c r="H49" s="314"/>
      <c r="I49" s="315"/>
    </row>
    <row r="50" spans="1:9" s="316" customFormat="1" ht="11.5" x14ac:dyDescent="0.25">
      <c r="A50" s="952"/>
      <c r="B50" s="1098" t="s">
        <v>933</v>
      </c>
      <c r="C50" s="311" t="s">
        <v>929</v>
      </c>
      <c r="D50" s="318">
        <v>1</v>
      </c>
      <c r="E50" s="318" t="s">
        <v>948</v>
      </c>
      <c r="F50" s="319"/>
      <c r="G50" s="320"/>
      <c r="H50" s="314"/>
      <c r="I50" s="315"/>
    </row>
    <row r="51" spans="1:9" s="316" customFormat="1" ht="11.5" x14ac:dyDescent="0.25">
      <c r="A51" s="952"/>
      <c r="B51" s="1098"/>
      <c r="C51" s="311" t="s">
        <v>930</v>
      </c>
      <c r="D51" s="318">
        <v>2</v>
      </c>
      <c r="E51" s="318" t="s">
        <v>948</v>
      </c>
      <c r="F51" s="319"/>
      <c r="G51" s="320"/>
      <c r="H51" s="314"/>
      <c r="I51" s="315"/>
    </row>
    <row r="52" spans="1:9" s="316" customFormat="1" ht="11.5" x14ac:dyDescent="0.25">
      <c r="A52" s="952"/>
      <c r="B52" s="1098"/>
      <c r="C52" s="311" t="s">
        <v>931</v>
      </c>
      <c r="D52" s="322" t="s">
        <v>948</v>
      </c>
      <c r="E52" s="322" t="s">
        <v>948</v>
      </c>
      <c r="F52" s="319"/>
      <c r="G52" s="320"/>
      <c r="H52" s="314"/>
      <c r="I52" s="315"/>
    </row>
    <row r="53" spans="1:9" s="316" customFormat="1" ht="11.5" x14ac:dyDescent="0.25">
      <c r="A53" s="952"/>
      <c r="B53" s="1098"/>
      <c r="C53" s="311" t="s">
        <v>932</v>
      </c>
      <c r="D53" s="318" t="s">
        <v>948</v>
      </c>
      <c r="E53" s="318" t="s">
        <v>948</v>
      </c>
      <c r="F53" s="319"/>
      <c r="G53" s="320"/>
      <c r="H53" s="314"/>
      <c r="I53" s="315"/>
    </row>
    <row r="54" spans="1:9" s="316" customFormat="1" ht="11.5" x14ac:dyDescent="0.25">
      <c r="A54" s="952"/>
      <c r="B54" s="1098"/>
      <c r="C54" s="323" t="s">
        <v>81</v>
      </c>
      <c r="D54" s="324">
        <f>SUM(D50:D53)</f>
        <v>3</v>
      </c>
      <c r="E54" s="324"/>
      <c r="F54" s="325"/>
      <c r="G54" s="326"/>
      <c r="H54" s="314"/>
      <c r="I54" s="315"/>
    </row>
    <row r="55" spans="1:9" s="316" customFormat="1" ht="14.25" customHeight="1" x14ac:dyDescent="0.25">
      <c r="A55" s="952"/>
      <c r="B55" s="1098" t="s">
        <v>934</v>
      </c>
      <c r="C55" s="311" t="s">
        <v>929</v>
      </c>
      <c r="D55" s="318">
        <f>+D45/D50</f>
        <v>175</v>
      </c>
      <c r="E55" s="318" t="s">
        <v>948</v>
      </c>
      <c r="F55" s="319"/>
      <c r="G55" s="319"/>
      <c r="H55" s="327"/>
      <c r="I55" s="327"/>
    </row>
    <row r="56" spans="1:9" s="316" customFormat="1" ht="11.5" x14ac:dyDescent="0.25">
      <c r="A56" s="952"/>
      <c r="B56" s="1098"/>
      <c r="C56" s="311" t="s">
        <v>930</v>
      </c>
      <c r="D56" s="318">
        <f>+D46/D51</f>
        <v>179.5</v>
      </c>
      <c r="E56" s="318" t="s">
        <v>948</v>
      </c>
      <c r="F56" s="319"/>
      <c r="G56" s="319"/>
      <c r="H56" s="327"/>
      <c r="I56" s="327"/>
    </row>
    <row r="57" spans="1:9" s="316" customFormat="1" ht="11.5" x14ac:dyDescent="0.25">
      <c r="A57" s="952"/>
      <c r="B57" s="1098"/>
      <c r="C57" s="311" t="s">
        <v>931</v>
      </c>
      <c r="D57" s="318" t="s">
        <v>948</v>
      </c>
      <c r="E57" s="318" t="s">
        <v>948</v>
      </c>
      <c r="F57" s="319"/>
      <c r="G57" s="319"/>
      <c r="H57" s="327"/>
      <c r="I57" s="327"/>
    </row>
    <row r="58" spans="1:9" s="316" customFormat="1" ht="11.5" x14ac:dyDescent="0.25">
      <c r="A58" s="952"/>
      <c r="B58" s="1098"/>
      <c r="C58" s="311" t="s">
        <v>932</v>
      </c>
      <c r="D58" s="318" t="s">
        <v>948</v>
      </c>
      <c r="E58" s="318" t="s">
        <v>948</v>
      </c>
      <c r="F58" s="319"/>
      <c r="G58" s="319"/>
      <c r="H58" s="327"/>
      <c r="I58" s="327"/>
    </row>
    <row r="59" spans="1:9" s="316" customFormat="1" ht="11.5" x14ac:dyDescent="0.25">
      <c r="A59" s="953"/>
      <c r="B59" s="1099"/>
      <c r="C59" s="323" t="s">
        <v>81</v>
      </c>
      <c r="D59" s="324">
        <f>+D49/D54</f>
        <v>178</v>
      </c>
      <c r="E59" s="324"/>
      <c r="F59" s="325"/>
      <c r="G59" s="326"/>
      <c r="H59" s="327"/>
      <c r="I59" s="327"/>
    </row>
    <row r="60" spans="1:9" s="316" customFormat="1" ht="11.5" x14ac:dyDescent="0.25">
      <c r="A60" s="899" t="s">
        <v>935</v>
      </c>
      <c r="B60" s="1095" t="s">
        <v>936</v>
      </c>
      <c r="C60" s="311" t="s">
        <v>929</v>
      </c>
      <c r="D60" s="328">
        <f>108+183</f>
        <v>291</v>
      </c>
      <c r="E60" s="328">
        <v>526</v>
      </c>
      <c r="F60" s="311"/>
      <c r="G60" s="311"/>
      <c r="H60" s="327"/>
      <c r="I60" s="327"/>
    </row>
    <row r="61" spans="1:9" s="316" customFormat="1" ht="12" customHeight="1" x14ac:dyDescent="0.25">
      <c r="A61" s="899"/>
      <c r="B61" s="1096"/>
      <c r="C61" s="311" t="s">
        <v>930</v>
      </c>
      <c r="D61" s="328">
        <f>619+30</f>
        <v>649</v>
      </c>
      <c r="E61" s="328">
        <v>622</v>
      </c>
      <c r="F61" s="311"/>
      <c r="G61" s="311"/>
      <c r="H61" s="327"/>
      <c r="I61" s="327"/>
    </row>
    <row r="62" spans="1:9" s="316" customFormat="1" ht="12" customHeight="1" x14ac:dyDescent="0.25">
      <c r="A62" s="899"/>
      <c r="B62" s="1096"/>
      <c r="C62" s="311" t="s">
        <v>931</v>
      </c>
      <c r="D62" s="328">
        <f>400+732</f>
        <v>1132</v>
      </c>
      <c r="E62" s="328">
        <v>1263</v>
      </c>
      <c r="F62" s="311"/>
      <c r="G62" s="311"/>
      <c r="H62" s="327"/>
      <c r="I62" s="327"/>
    </row>
    <row r="63" spans="1:9" s="316" customFormat="1" ht="12" customHeight="1" x14ac:dyDescent="0.25">
      <c r="A63" s="899"/>
      <c r="B63" s="1096"/>
      <c r="C63" s="311" t="s">
        <v>932</v>
      </c>
      <c r="D63" s="328">
        <v>1247</v>
      </c>
      <c r="E63" s="328">
        <v>636</v>
      </c>
      <c r="F63" s="311"/>
      <c r="G63" s="311"/>
      <c r="H63" s="327"/>
      <c r="I63" s="327"/>
    </row>
    <row r="64" spans="1:9" s="316" customFormat="1" ht="12" customHeight="1" x14ac:dyDescent="0.25">
      <c r="A64" s="899"/>
      <c r="B64" s="1097"/>
      <c r="C64" s="329" t="s">
        <v>81</v>
      </c>
      <c r="D64" s="330">
        <f>SUM(D60:D63)</f>
        <v>3319</v>
      </c>
      <c r="E64" s="330">
        <f>SUM(E60:E63)</f>
        <v>3047</v>
      </c>
      <c r="F64" s="323"/>
      <c r="G64" s="323"/>
      <c r="H64" s="327"/>
      <c r="I64" s="327"/>
    </row>
    <row r="65" spans="1:9" x14ac:dyDescent="0.25">
      <c r="A65" s="899"/>
      <c r="B65" s="1094" t="s">
        <v>937</v>
      </c>
      <c r="C65" s="311" t="s">
        <v>929</v>
      </c>
      <c r="D65" s="523">
        <v>4</v>
      </c>
      <c r="E65" s="522">
        <v>8</v>
      </c>
      <c r="F65" s="331"/>
      <c r="G65" s="331"/>
      <c r="H65" s="28"/>
      <c r="I65" s="28"/>
    </row>
    <row r="66" spans="1:9" x14ac:dyDescent="0.25">
      <c r="A66" s="899"/>
      <c r="B66" s="1094"/>
      <c r="C66" s="311" t="s">
        <v>930</v>
      </c>
      <c r="D66" s="523">
        <v>15</v>
      </c>
      <c r="E66" s="522">
        <v>19</v>
      </c>
      <c r="F66" s="331"/>
      <c r="G66" s="331"/>
      <c r="H66" s="28"/>
      <c r="I66" s="28"/>
    </row>
    <row r="67" spans="1:9" x14ac:dyDescent="0.25">
      <c r="A67" s="899"/>
      <c r="B67" s="1094"/>
      <c r="C67" s="311" t="s">
        <v>931</v>
      </c>
      <c r="D67" s="523">
        <f>14+7</f>
        <v>21</v>
      </c>
      <c r="E67" s="522">
        <v>32</v>
      </c>
      <c r="F67" s="331"/>
      <c r="G67" s="331"/>
      <c r="H67" s="28"/>
      <c r="I67" s="28"/>
    </row>
    <row r="68" spans="1:9" x14ac:dyDescent="0.25">
      <c r="A68" s="899"/>
      <c r="B68" s="1094"/>
      <c r="C68" s="311" t="s">
        <v>932</v>
      </c>
      <c r="D68" s="523">
        <v>22</v>
      </c>
      <c r="E68" s="522">
        <v>19</v>
      </c>
      <c r="F68" s="331"/>
      <c r="G68" s="331"/>
      <c r="H68" s="28"/>
      <c r="I68" s="28"/>
    </row>
    <row r="69" spans="1:9" x14ac:dyDescent="0.25">
      <c r="A69" s="899"/>
      <c r="B69" s="1094"/>
      <c r="C69" s="329" t="s">
        <v>81</v>
      </c>
      <c r="D69" s="332">
        <f>SUM(D65:D68)</f>
        <v>62</v>
      </c>
      <c r="E69" s="468">
        <f>SUM(E65:E68)</f>
        <v>78</v>
      </c>
      <c r="F69" s="333"/>
      <c r="G69" s="331"/>
      <c r="H69" s="28"/>
      <c r="I69" s="28"/>
    </row>
    <row r="70" spans="1:9" x14ac:dyDescent="0.25">
      <c r="A70" s="899"/>
      <c r="B70" s="1094" t="s">
        <v>938</v>
      </c>
      <c r="C70" s="311" t="s">
        <v>929</v>
      </c>
      <c r="D70" s="334">
        <f t="shared" ref="D70:E73" si="0">+D60/D65</f>
        <v>72.75</v>
      </c>
      <c r="E70" s="334">
        <f t="shared" si="0"/>
        <v>65.75</v>
      </c>
      <c r="F70" s="331"/>
      <c r="G70" s="331"/>
      <c r="H70" s="28"/>
      <c r="I70" s="28"/>
    </row>
    <row r="71" spans="1:9" x14ac:dyDescent="0.25">
      <c r="A71" s="899"/>
      <c r="B71" s="1094"/>
      <c r="C71" s="311" t="s">
        <v>930</v>
      </c>
      <c r="D71" s="334">
        <f t="shared" si="0"/>
        <v>43.266666666666666</v>
      </c>
      <c r="E71" s="334">
        <f t="shared" si="0"/>
        <v>32.736842105263158</v>
      </c>
      <c r="F71" s="331"/>
      <c r="G71" s="331"/>
      <c r="H71" s="28"/>
      <c r="I71" s="28"/>
    </row>
    <row r="72" spans="1:9" x14ac:dyDescent="0.25">
      <c r="A72" s="899"/>
      <c r="B72" s="1094"/>
      <c r="C72" s="311" t="s">
        <v>931</v>
      </c>
      <c r="D72" s="334">
        <f t="shared" si="0"/>
        <v>53.904761904761905</v>
      </c>
      <c r="E72" s="334">
        <f t="shared" si="0"/>
        <v>39.46875</v>
      </c>
      <c r="F72" s="331"/>
      <c r="G72" s="331"/>
      <c r="H72" s="28"/>
      <c r="I72" s="28"/>
    </row>
    <row r="73" spans="1:9" x14ac:dyDescent="0.25">
      <c r="A73" s="899"/>
      <c r="B73" s="1094"/>
      <c r="C73" s="311" t="s">
        <v>932</v>
      </c>
      <c r="D73" s="334">
        <f t="shared" si="0"/>
        <v>56.68181818181818</v>
      </c>
      <c r="E73" s="334">
        <f>+E63/E68</f>
        <v>33.473684210526315</v>
      </c>
      <c r="F73" s="331"/>
      <c r="G73" s="331"/>
      <c r="H73" s="28"/>
      <c r="I73" s="28"/>
    </row>
    <row r="74" spans="1:9" x14ac:dyDescent="0.25">
      <c r="A74" s="899"/>
      <c r="B74" s="1094"/>
      <c r="C74" s="329" t="s">
        <v>81</v>
      </c>
      <c r="D74" s="332">
        <f>+D64/D69</f>
        <v>53.532258064516128</v>
      </c>
      <c r="E74" s="469">
        <f>+E64/E69</f>
        <v>39.064102564102562</v>
      </c>
      <c r="F74" s="333"/>
      <c r="G74" s="333"/>
      <c r="H74" s="28"/>
      <c r="I74" s="28"/>
    </row>
    <row r="75" spans="1:9" ht="14.25" customHeight="1" x14ac:dyDescent="0.25">
      <c r="A75" s="951" t="s">
        <v>1165</v>
      </c>
      <c r="B75" s="1095" t="s">
        <v>940</v>
      </c>
      <c r="C75" s="311" t="s">
        <v>929</v>
      </c>
      <c r="D75" s="334">
        <v>422</v>
      </c>
      <c r="E75" s="522">
        <v>474</v>
      </c>
      <c r="F75" s="331"/>
      <c r="G75" s="331"/>
      <c r="H75" s="28"/>
      <c r="I75" s="28"/>
    </row>
    <row r="76" spans="1:9" x14ac:dyDescent="0.25">
      <c r="A76" s="952"/>
      <c r="B76" s="1096"/>
      <c r="C76" s="311" t="s">
        <v>930</v>
      </c>
      <c r="D76" s="334">
        <v>987</v>
      </c>
      <c r="E76" s="522">
        <v>3000</v>
      </c>
      <c r="F76" s="331"/>
      <c r="G76" s="331"/>
      <c r="H76" s="28"/>
      <c r="I76" s="28"/>
    </row>
    <row r="77" spans="1:9" x14ac:dyDescent="0.25">
      <c r="A77" s="952"/>
      <c r="B77" s="1096"/>
      <c r="C77" s="311" t="s">
        <v>931</v>
      </c>
      <c r="D77" s="334">
        <v>699</v>
      </c>
      <c r="E77" s="522">
        <v>3418</v>
      </c>
      <c r="F77" s="331"/>
      <c r="G77" s="331"/>
      <c r="H77" s="28"/>
      <c r="I77" s="28"/>
    </row>
    <row r="78" spans="1:9" x14ac:dyDescent="0.25">
      <c r="A78" s="952"/>
      <c r="B78" s="1096"/>
      <c r="C78" s="311" t="s">
        <v>932</v>
      </c>
      <c r="D78" s="334">
        <v>360</v>
      </c>
      <c r="E78" s="522">
        <v>1151</v>
      </c>
      <c r="F78" s="331"/>
      <c r="G78" s="331"/>
      <c r="H78" s="28"/>
      <c r="I78" s="28"/>
    </row>
    <row r="79" spans="1:9" x14ac:dyDescent="0.25">
      <c r="A79" s="952"/>
      <c r="B79" s="1097"/>
      <c r="C79" s="323" t="s">
        <v>81</v>
      </c>
      <c r="D79" s="335">
        <f>SUM(D75:D78)</f>
        <v>2468</v>
      </c>
      <c r="E79" s="468">
        <f>SUM(E75:E78)</f>
        <v>8043</v>
      </c>
      <c r="F79" s="333"/>
      <c r="G79" s="333"/>
      <c r="H79" s="28"/>
      <c r="I79" s="28"/>
    </row>
    <row r="80" spans="1:9" x14ac:dyDescent="0.25">
      <c r="A80" s="952"/>
      <c r="B80" s="1095" t="s">
        <v>941</v>
      </c>
      <c r="C80" s="311" t="s">
        <v>929</v>
      </c>
      <c r="D80" s="334">
        <v>5</v>
      </c>
      <c r="E80" s="522">
        <v>6</v>
      </c>
      <c r="F80" s="331"/>
      <c r="G80" s="331"/>
      <c r="H80" s="28"/>
      <c r="I80" s="28"/>
    </row>
    <row r="81" spans="1:9" x14ac:dyDescent="0.25">
      <c r="A81" s="952"/>
      <c r="B81" s="1096"/>
      <c r="C81" s="311" t="s">
        <v>930</v>
      </c>
      <c r="D81" s="334">
        <v>8</v>
      </c>
      <c r="E81" s="522">
        <v>33</v>
      </c>
      <c r="F81" s="331"/>
      <c r="G81" s="331"/>
      <c r="H81" s="28"/>
      <c r="I81" s="28"/>
    </row>
    <row r="82" spans="1:9" x14ac:dyDescent="0.25">
      <c r="A82" s="952"/>
      <c r="B82" s="1096"/>
      <c r="C82" s="311" t="s">
        <v>931</v>
      </c>
      <c r="D82" s="334">
        <v>10</v>
      </c>
      <c r="E82" s="522">
        <v>35</v>
      </c>
      <c r="F82" s="331"/>
      <c r="G82" s="331"/>
      <c r="H82" s="28"/>
      <c r="I82" s="28"/>
    </row>
    <row r="83" spans="1:9" x14ac:dyDescent="0.25">
      <c r="A83" s="952"/>
      <c r="B83" s="1096"/>
      <c r="C83" s="311" t="s">
        <v>932</v>
      </c>
      <c r="D83" s="334">
        <v>4</v>
      </c>
      <c r="E83" s="522">
        <v>21</v>
      </c>
      <c r="F83" s="331"/>
      <c r="G83" s="331"/>
      <c r="H83" s="28"/>
      <c r="I83" s="28"/>
    </row>
    <row r="84" spans="1:9" x14ac:dyDescent="0.25">
      <c r="A84" s="952"/>
      <c r="B84" s="1097"/>
      <c r="C84" s="323" t="s">
        <v>81</v>
      </c>
      <c r="D84" s="335">
        <f>SUM(D80:D83)</f>
        <v>27</v>
      </c>
      <c r="E84" s="468">
        <f>SUM(E80:E83)</f>
        <v>95</v>
      </c>
      <c r="F84" s="333"/>
      <c r="G84" s="333"/>
      <c r="H84" s="28"/>
      <c r="I84" s="28"/>
    </row>
    <row r="85" spans="1:9" x14ac:dyDescent="0.25">
      <c r="A85" s="952"/>
      <c r="B85" s="1095" t="s">
        <v>942</v>
      </c>
      <c r="C85" s="311" t="s">
        <v>929</v>
      </c>
      <c r="D85" s="334">
        <f t="shared" ref="D85:E87" si="1">+D75/D80</f>
        <v>84.4</v>
      </c>
      <c r="E85" s="334">
        <f t="shared" si="1"/>
        <v>79</v>
      </c>
      <c r="F85" s="331"/>
      <c r="G85" s="331"/>
      <c r="H85" s="28"/>
      <c r="I85" s="28"/>
    </row>
    <row r="86" spans="1:9" x14ac:dyDescent="0.25">
      <c r="A86" s="952"/>
      <c r="B86" s="1096"/>
      <c r="C86" s="311" t="s">
        <v>930</v>
      </c>
      <c r="D86" s="334">
        <f t="shared" si="1"/>
        <v>123.375</v>
      </c>
      <c r="E86" s="334">
        <f>+E76/E81</f>
        <v>90.909090909090907</v>
      </c>
      <c r="F86" s="331"/>
      <c r="G86" s="331"/>
      <c r="H86" s="28"/>
      <c r="I86" s="28"/>
    </row>
    <row r="87" spans="1:9" x14ac:dyDescent="0.25">
      <c r="A87" s="952"/>
      <c r="B87" s="1096"/>
      <c r="C87" s="311" t="s">
        <v>931</v>
      </c>
      <c r="D87" s="334">
        <f t="shared" si="1"/>
        <v>69.900000000000006</v>
      </c>
      <c r="E87" s="334">
        <f>+E77/E82</f>
        <v>97.657142857142858</v>
      </c>
      <c r="F87" s="331"/>
      <c r="G87" s="331"/>
      <c r="H87" s="28"/>
      <c r="I87" s="28"/>
    </row>
    <row r="88" spans="1:9" x14ac:dyDescent="0.25">
      <c r="A88" s="952"/>
      <c r="B88" s="1096"/>
      <c r="C88" s="311" t="s">
        <v>932</v>
      </c>
      <c r="D88" s="334">
        <v>90</v>
      </c>
      <c r="E88" s="334">
        <f>+E78/E83</f>
        <v>54.80952380952381</v>
      </c>
      <c r="F88" s="331"/>
      <c r="G88" s="331"/>
      <c r="H88" s="28"/>
      <c r="I88" s="28"/>
    </row>
    <row r="89" spans="1:9" x14ac:dyDescent="0.25">
      <c r="A89" s="953"/>
      <c r="B89" s="1097"/>
      <c r="C89" s="323" t="s">
        <v>81</v>
      </c>
      <c r="D89" s="470">
        <f>+D79/D84</f>
        <v>91.407407407407405</v>
      </c>
      <c r="E89" s="470">
        <f>+E79/E84</f>
        <v>84.663157894736841</v>
      </c>
      <c r="F89" s="325"/>
      <c r="G89" s="325"/>
      <c r="H89" s="28"/>
      <c r="I89" s="28"/>
    </row>
    <row r="90" spans="1:9" x14ac:dyDescent="0.25">
      <c r="A90" s="899" t="s">
        <v>943</v>
      </c>
      <c r="B90" s="1095" t="s">
        <v>1144</v>
      </c>
      <c r="C90" s="311" t="s">
        <v>929</v>
      </c>
      <c r="D90" s="334">
        <v>166</v>
      </c>
      <c r="E90" s="522">
        <v>298</v>
      </c>
      <c r="F90" s="331"/>
      <c r="G90" s="331"/>
      <c r="H90" s="28"/>
      <c r="I90" s="28"/>
    </row>
    <row r="91" spans="1:9" x14ac:dyDescent="0.25">
      <c r="A91" s="899"/>
      <c r="B91" s="1096"/>
      <c r="C91" s="311" t="s">
        <v>930</v>
      </c>
      <c r="D91" s="334">
        <v>714</v>
      </c>
      <c r="E91" s="522">
        <v>363</v>
      </c>
      <c r="F91" s="331"/>
      <c r="G91" s="331"/>
      <c r="H91" s="28"/>
      <c r="I91" s="28"/>
    </row>
    <row r="92" spans="1:9" x14ac:dyDescent="0.25">
      <c r="A92" s="899"/>
      <c r="B92" s="1096"/>
      <c r="C92" s="311" t="s">
        <v>931</v>
      </c>
      <c r="D92" s="523">
        <v>443</v>
      </c>
      <c r="E92" s="522">
        <v>116</v>
      </c>
      <c r="F92" s="331"/>
      <c r="G92" s="331"/>
      <c r="H92" s="28"/>
      <c r="I92" s="28"/>
    </row>
    <row r="93" spans="1:9" x14ac:dyDescent="0.25">
      <c r="A93" s="899"/>
      <c r="B93" s="1096"/>
      <c r="C93" s="311" t="s">
        <v>932</v>
      </c>
      <c r="D93" s="523">
        <v>307</v>
      </c>
      <c r="E93" s="522">
        <v>335</v>
      </c>
      <c r="F93" s="331"/>
      <c r="G93" s="331"/>
      <c r="H93" s="28"/>
      <c r="I93" s="28"/>
    </row>
    <row r="94" spans="1:9" x14ac:dyDescent="0.25">
      <c r="A94" s="899"/>
      <c r="B94" s="1097"/>
      <c r="C94" s="323" t="s">
        <v>81</v>
      </c>
      <c r="D94" s="335">
        <f>SUM(D90:D93)</f>
        <v>1630</v>
      </c>
      <c r="E94" s="468">
        <f>SUM(E90:E93)</f>
        <v>1112</v>
      </c>
      <c r="F94" s="333"/>
      <c r="G94" s="333"/>
      <c r="H94" s="28"/>
      <c r="I94" s="28"/>
    </row>
    <row r="95" spans="1:9" x14ac:dyDescent="0.25">
      <c r="A95" s="899"/>
      <c r="B95" s="1094" t="s">
        <v>944</v>
      </c>
      <c r="C95" s="311" t="s">
        <v>929</v>
      </c>
      <c r="D95" s="523">
        <v>4</v>
      </c>
      <c r="E95" s="522">
        <v>6</v>
      </c>
      <c r="F95" s="331"/>
      <c r="G95" s="331"/>
      <c r="H95" s="28"/>
      <c r="I95" s="28"/>
    </row>
    <row r="96" spans="1:9" x14ac:dyDescent="0.25">
      <c r="A96" s="899"/>
      <c r="B96" s="1094"/>
      <c r="C96" s="311" t="s">
        <v>930</v>
      </c>
      <c r="D96" s="523">
        <v>16</v>
      </c>
      <c r="E96" s="522">
        <v>8</v>
      </c>
      <c r="F96" s="331"/>
      <c r="G96" s="331"/>
      <c r="H96" s="28"/>
      <c r="I96" s="28"/>
    </row>
    <row r="97" spans="1:9" x14ac:dyDescent="0.25">
      <c r="A97" s="899"/>
      <c r="B97" s="1094"/>
      <c r="C97" s="311" t="s">
        <v>931</v>
      </c>
      <c r="D97" s="523">
        <v>13</v>
      </c>
      <c r="E97" s="522">
        <v>5</v>
      </c>
      <c r="F97" s="331"/>
      <c r="G97" s="331"/>
      <c r="H97" s="28"/>
      <c r="I97" s="28"/>
    </row>
    <row r="98" spans="1:9" x14ac:dyDescent="0.25">
      <c r="A98" s="899"/>
      <c r="B98" s="1094"/>
      <c r="C98" s="311" t="s">
        <v>932</v>
      </c>
      <c r="D98" s="523">
        <v>9</v>
      </c>
      <c r="E98" s="522">
        <v>7</v>
      </c>
      <c r="F98" s="331"/>
      <c r="G98" s="331"/>
      <c r="H98" s="28"/>
      <c r="I98" s="28"/>
    </row>
    <row r="99" spans="1:9" x14ac:dyDescent="0.25">
      <c r="A99" s="899"/>
      <c r="B99" s="1094"/>
      <c r="C99" s="323" t="s">
        <v>81</v>
      </c>
      <c r="D99" s="336">
        <f>SUM(D95:D98)</f>
        <v>42</v>
      </c>
      <c r="E99" s="468">
        <f>SUM(E95:E98)</f>
        <v>26</v>
      </c>
      <c r="F99" s="333"/>
      <c r="G99" s="331"/>
      <c r="H99" s="28"/>
      <c r="I99" s="28"/>
    </row>
    <row r="100" spans="1:9" x14ac:dyDescent="0.25">
      <c r="A100" s="899"/>
      <c r="B100" s="1094" t="s">
        <v>945</v>
      </c>
      <c r="C100" s="311" t="s">
        <v>929</v>
      </c>
      <c r="D100" s="334">
        <f t="shared" ref="D100:E102" si="2">+D90/D95</f>
        <v>41.5</v>
      </c>
      <c r="E100" s="334">
        <f t="shared" si="2"/>
        <v>49.666666666666664</v>
      </c>
      <c r="F100" s="331"/>
      <c r="G100" s="331"/>
      <c r="H100" s="28"/>
      <c r="I100" s="28"/>
    </row>
    <row r="101" spans="1:9" x14ac:dyDescent="0.25">
      <c r="A101" s="899"/>
      <c r="B101" s="1094"/>
      <c r="C101" s="311" t="s">
        <v>930</v>
      </c>
      <c r="D101" s="334">
        <f>+D91/D96</f>
        <v>44.625</v>
      </c>
      <c r="E101" s="334">
        <f t="shared" si="2"/>
        <v>45.375</v>
      </c>
      <c r="F101" s="331"/>
      <c r="G101" s="331"/>
      <c r="H101" s="28"/>
      <c r="I101" s="28"/>
    </row>
    <row r="102" spans="1:9" x14ac:dyDescent="0.25">
      <c r="A102" s="899"/>
      <c r="B102" s="1094"/>
      <c r="C102" s="311" t="s">
        <v>931</v>
      </c>
      <c r="D102" s="334">
        <f>+D92/D97</f>
        <v>34.07692307692308</v>
      </c>
      <c r="E102" s="334">
        <f t="shared" si="2"/>
        <v>23.2</v>
      </c>
      <c r="F102" s="331"/>
      <c r="G102" s="331"/>
      <c r="H102" s="28"/>
      <c r="I102" s="28"/>
    </row>
    <row r="103" spans="1:9" x14ac:dyDescent="0.25">
      <c r="A103" s="899"/>
      <c r="B103" s="1094"/>
      <c r="C103" s="311" t="s">
        <v>932</v>
      </c>
      <c r="D103" s="334">
        <f>+D93/D98</f>
        <v>34.111111111111114</v>
      </c>
      <c r="E103" s="334">
        <f>+E93/E98</f>
        <v>47.857142857142854</v>
      </c>
      <c r="F103" s="331"/>
      <c r="G103" s="331"/>
      <c r="H103" s="28"/>
      <c r="I103" s="28"/>
    </row>
    <row r="104" spans="1:9" x14ac:dyDescent="0.25">
      <c r="A104" s="899"/>
      <c r="B104" s="1094"/>
      <c r="C104" s="323" t="s">
        <v>81</v>
      </c>
      <c r="D104" s="332">
        <f>+D94/D99</f>
        <v>38.80952380952381</v>
      </c>
      <c r="E104" s="471">
        <f>+E94/E99</f>
        <v>42.769230769230766</v>
      </c>
      <c r="F104" s="337"/>
      <c r="G104" s="337"/>
      <c r="H104" s="28"/>
      <c r="I104" s="28"/>
    </row>
    <row r="105" spans="1:9" ht="14.25" customHeight="1" x14ac:dyDescent="0.25">
      <c r="A105" s="895" t="s">
        <v>946</v>
      </c>
      <c r="B105" s="1095" t="s">
        <v>947</v>
      </c>
      <c r="C105" s="311" t="s">
        <v>929</v>
      </c>
      <c r="D105" s="523" t="s">
        <v>948</v>
      </c>
      <c r="E105" s="522">
        <v>32</v>
      </c>
      <c r="F105" s="331"/>
      <c r="G105" s="331"/>
      <c r="H105" s="28"/>
      <c r="I105" s="28"/>
    </row>
    <row r="106" spans="1:9" x14ac:dyDescent="0.25">
      <c r="A106" s="895"/>
      <c r="B106" s="1096"/>
      <c r="C106" s="311" t="s">
        <v>930</v>
      </c>
      <c r="D106" s="523">
        <v>49</v>
      </c>
      <c r="E106" s="522" t="s">
        <v>948</v>
      </c>
      <c r="F106" s="331"/>
      <c r="G106" s="331"/>
      <c r="H106" s="28"/>
      <c r="I106" s="28"/>
    </row>
    <row r="107" spans="1:9" x14ac:dyDescent="0.25">
      <c r="A107" s="895"/>
      <c r="B107" s="1096"/>
      <c r="C107" s="311" t="s">
        <v>931</v>
      </c>
      <c r="D107" s="523" t="s">
        <v>948</v>
      </c>
      <c r="E107" s="522" t="s">
        <v>948</v>
      </c>
      <c r="F107" s="331"/>
      <c r="G107" s="331"/>
      <c r="H107" s="28"/>
      <c r="I107" s="28"/>
    </row>
    <row r="108" spans="1:9" x14ac:dyDescent="0.25">
      <c r="A108" s="895"/>
      <c r="B108" s="1096"/>
      <c r="C108" s="311" t="s">
        <v>932</v>
      </c>
      <c r="D108" s="523" t="s">
        <v>948</v>
      </c>
      <c r="E108" s="522" t="s">
        <v>948</v>
      </c>
      <c r="F108" s="331"/>
      <c r="G108" s="331"/>
      <c r="H108" s="28"/>
      <c r="I108" s="28"/>
    </row>
    <row r="109" spans="1:9" x14ac:dyDescent="0.25">
      <c r="A109" s="895"/>
      <c r="B109" s="1097"/>
      <c r="C109" s="323" t="s">
        <v>81</v>
      </c>
      <c r="D109" s="338">
        <f>SUM(D105:D108)</f>
        <v>49</v>
      </c>
      <c r="E109" s="338">
        <f>SUM(E105:E108)</f>
        <v>32</v>
      </c>
      <c r="F109" s="337"/>
      <c r="G109" s="337"/>
      <c r="H109" s="28"/>
      <c r="I109" s="28"/>
    </row>
    <row r="110" spans="1:9" x14ac:dyDescent="0.25">
      <c r="A110" s="895"/>
      <c r="B110" s="1094" t="s">
        <v>949</v>
      </c>
      <c r="C110" s="311" t="s">
        <v>929</v>
      </c>
      <c r="D110" s="523" t="s">
        <v>948</v>
      </c>
      <c r="E110" s="522">
        <v>1</v>
      </c>
      <c r="F110" s="331"/>
      <c r="G110" s="331"/>
      <c r="H110" s="28"/>
      <c r="I110" s="28"/>
    </row>
    <row r="111" spans="1:9" x14ac:dyDescent="0.25">
      <c r="A111" s="895"/>
      <c r="B111" s="1094"/>
      <c r="C111" s="311" t="s">
        <v>930</v>
      </c>
      <c r="D111" s="523">
        <v>1</v>
      </c>
      <c r="E111" s="522" t="s">
        <v>948</v>
      </c>
      <c r="F111" s="331"/>
      <c r="G111" s="331"/>
      <c r="H111" s="28"/>
      <c r="I111" s="28"/>
    </row>
    <row r="112" spans="1:9" x14ac:dyDescent="0.25">
      <c r="A112" s="895"/>
      <c r="B112" s="1094"/>
      <c r="C112" s="311" t="s">
        <v>931</v>
      </c>
      <c r="D112" s="523" t="s">
        <v>948</v>
      </c>
      <c r="E112" s="522" t="s">
        <v>948</v>
      </c>
      <c r="F112" s="331"/>
      <c r="G112" s="331"/>
      <c r="H112" s="28"/>
      <c r="I112" s="28"/>
    </row>
    <row r="113" spans="1:15" x14ac:dyDescent="0.25">
      <c r="A113" s="895"/>
      <c r="B113" s="1094"/>
      <c r="C113" s="311" t="s">
        <v>932</v>
      </c>
      <c r="D113" s="523" t="s">
        <v>948</v>
      </c>
      <c r="E113" s="522" t="s">
        <v>948</v>
      </c>
      <c r="F113" s="331"/>
      <c r="G113" s="331"/>
      <c r="H113" s="28"/>
      <c r="I113" s="28"/>
    </row>
    <row r="114" spans="1:15" x14ac:dyDescent="0.25">
      <c r="A114" s="895"/>
      <c r="B114" s="1094"/>
      <c r="C114" s="323" t="s">
        <v>81</v>
      </c>
      <c r="D114" s="338">
        <f>SUM(D110:D113)</f>
        <v>1</v>
      </c>
      <c r="E114" s="338">
        <f>SUM(E110:E113)</f>
        <v>1</v>
      </c>
      <c r="F114" s="337"/>
      <c r="G114" s="337"/>
      <c r="H114" s="28"/>
      <c r="I114" s="28"/>
    </row>
    <row r="115" spans="1:15" x14ac:dyDescent="0.25">
      <c r="A115" s="895"/>
      <c r="B115" s="1094" t="s">
        <v>950</v>
      </c>
      <c r="C115" s="311" t="s">
        <v>929</v>
      </c>
      <c r="D115" s="523" t="s">
        <v>948</v>
      </c>
      <c r="E115" s="522">
        <f>+E105/E110</f>
        <v>32</v>
      </c>
      <c r="F115" s="331"/>
      <c r="G115" s="331"/>
      <c r="H115" s="28"/>
      <c r="I115" s="28"/>
    </row>
    <row r="116" spans="1:15" x14ac:dyDescent="0.25">
      <c r="A116" s="895"/>
      <c r="B116" s="1094"/>
      <c r="C116" s="311" t="s">
        <v>930</v>
      </c>
      <c r="D116" s="523">
        <f>+D106/D111</f>
        <v>49</v>
      </c>
      <c r="E116" s="523" t="s">
        <v>948</v>
      </c>
      <c r="F116" s="331"/>
      <c r="G116" s="331"/>
      <c r="H116" s="28"/>
      <c r="I116" s="28"/>
    </row>
    <row r="117" spans="1:15" x14ac:dyDescent="0.25">
      <c r="A117" s="895"/>
      <c r="B117" s="1094"/>
      <c r="C117" s="311" t="s">
        <v>931</v>
      </c>
      <c r="D117" s="523" t="s">
        <v>948</v>
      </c>
      <c r="E117" s="523" t="s">
        <v>948</v>
      </c>
      <c r="F117" s="331"/>
      <c r="G117" s="331"/>
      <c r="H117" s="28"/>
      <c r="I117" s="28"/>
    </row>
    <row r="118" spans="1:15" x14ac:dyDescent="0.25">
      <c r="A118" s="895"/>
      <c r="B118" s="1094"/>
      <c r="C118" s="311" t="s">
        <v>932</v>
      </c>
      <c r="D118" s="523" t="s">
        <v>948</v>
      </c>
      <c r="E118" s="522" t="s">
        <v>948</v>
      </c>
      <c r="F118" s="331"/>
      <c r="G118" s="331"/>
      <c r="H118" s="28"/>
      <c r="I118" s="28"/>
    </row>
    <row r="119" spans="1:15" x14ac:dyDescent="0.25">
      <c r="A119" s="895"/>
      <c r="B119" s="1094"/>
      <c r="C119" s="323" t="s">
        <v>81</v>
      </c>
      <c r="D119" s="338">
        <f>+D109/D114</f>
        <v>49</v>
      </c>
      <c r="E119" s="338">
        <f>+E109/E114</f>
        <v>32</v>
      </c>
      <c r="F119" s="337"/>
      <c r="G119" s="337"/>
      <c r="H119" s="28"/>
      <c r="I119" s="28"/>
    </row>
    <row r="120" spans="1:15" ht="17.5" x14ac:dyDescent="0.25">
      <c r="A120" s="517"/>
      <c r="B120" s="339"/>
      <c r="C120" s="301"/>
      <c r="D120" s="340"/>
      <c r="E120" s="28"/>
      <c r="F120" s="28"/>
      <c r="G120" s="28"/>
      <c r="H120" s="28"/>
      <c r="I120" s="28"/>
      <c r="J120" s="28"/>
      <c r="K120" s="28"/>
      <c r="L120" s="28"/>
    </row>
    <row r="122" spans="1:15" ht="31.5" customHeight="1" x14ac:dyDescent="0.25">
      <c r="A122" s="885" t="str">
        <f>+PORCENTAJE_____DE_TRÁMITES_RESUELTOS_EN_UN_TIEMPO_IGUAL_O_INFERIOR_A_LO_REGLAMENTADO_EN_EL_SGC.__LICENCIAS_AMBIENTALES__115_DÍAS_HÁBILES_.__CONCESIONES_DE_AGUAS_SUBTERRÁNEAS_Y_SUPERFICIALES__55_DÍAS_HÁBILES_.__PERMISOS_DE_VERTIMIENTOS__55_DÍAS_HÁBILES_.</f>
        <v>DESARROLLAR SEGUIMIENTO QUINCENAL  A LOS TRAMITES QUE TIENEN RIESGO DE INCUMPLIMIENTO DE LOS TIEMPOS ESTABLECIDOS PARA DAR RESPUESTA A LOS USUARIOS</v>
      </c>
      <c r="B122" s="885"/>
      <c r="C122" s="885"/>
      <c r="D122" s="885"/>
      <c r="E122" s="885"/>
      <c r="F122" s="885"/>
      <c r="G122" s="885"/>
      <c r="H122" s="885"/>
      <c r="I122" s="885"/>
      <c r="J122" s="885"/>
      <c r="K122" s="885"/>
      <c r="L122" s="885"/>
      <c r="M122" s="885"/>
      <c r="N122" s="885"/>
      <c r="O122" s="885"/>
    </row>
    <row r="124" spans="1:15" ht="41.25" customHeight="1" x14ac:dyDescent="0.25">
      <c r="A124" s="26"/>
      <c r="G124" s="341">
        <v>2016</v>
      </c>
      <c r="H124" s="341">
        <v>2017</v>
      </c>
      <c r="I124" s="341">
        <v>2018</v>
      </c>
      <c r="J124" s="341">
        <v>2019</v>
      </c>
      <c r="K124" s="341">
        <v>2020</v>
      </c>
      <c r="L124" s="341">
        <v>2021</v>
      </c>
    </row>
    <row r="125" spans="1:15" ht="36" customHeight="1" x14ac:dyDescent="0.25">
      <c r="A125" s="866" t="s">
        <v>203</v>
      </c>
      <c r="B125" s="867"/>
      <c r="C125" s="867"/>
      <c r="D125" s="867"/>
      <c r="E125" s="867"/>
      <c r="F125" s="867"/>
      <c r="G125" s="27">
        <f>+L139</f>
        <v>0</v>
      </c>
      <c r="H125" s="27" t="str">
        <f>+O139</f>
        <v>NA</v>
      </c>
      <c r="I125" s="27"/>
      <c r="J125" s="152"/>
      <c r="K125" s="27"/>
      <c r="L125" s="27"/>
    </row>
    <row r="126" spans="1:15" ht="36" customHeight="1" x14ac:dyDescent="0.25">
      <c r="A126" s="866" t="s">
        <v>205</v>
      </c>
      <c r="B126" s="867"/>
      <c r="C126" s="867"/>
      <c r="D126" s="867"/>
      <c r="E126" s="867"/>
      <c r="F126" s="867"/>
      <c r="G126" s="27">
        <f>+L144</f>
        <v>0.74137931034482762</v>
      </c>
      <c r="H126" s="530">
        <v>0.94</v>
      </c>
      <c r="I126" s="152"/>
      <c r="J126" s="152"/>
      <c r="K126" s="27"/>
      <c r="L126" s="27"/>
    </row>
    <row r="127" spans="1:15" ht="36" customHeight="1" x14ac:dyDescent="0.25">
      <c r="A127" s="866" t="s">
        <v>206</v>
      </c>
      <c r="B127" s="867"/>
      <c r="C127" s="867"/>
      <c r="D127" s="867"/>
      <c r="E127" s="867"/>
      <c r="F127" s="867"/>
      <c r="G127" s="27">
        <f>+L149</f>
        <v>0.40740740740740738</v>
      </c>
      <c r="H127" s="27">
        <v>0.55000000000000004</v>
      </c>
      <c r="I127" s="27"/>
      <c r="J127" s="152"/>
      <c r="K127" s="27"/>
      <c r="L127" s="27"/>
    </row>
    <row r="128" spans="1:15" ht="36" customHeight="1" x14ac:dyDescent="0.25">
      <c r="A128" s="866" t="s">
        <v>550</v>
      </c>
      <c r="B128" s="867"/>
      <c r="C128" s="867"/>
      <c r="D128" s="867"/>
      <c r="E128" s="867"/>
      <c r="F128" s="867"/>
      <c r="G128" s="27">
        <f>+L154</f>
        <v>0.78</v>
      </c>
      <c r="H128" s="530">
        <v>0.83</v>
      </c>
      <c r="I128" s="152"/>
      <c r="J128" s="152"/>
      <c r="K128" s="27"/>
      <c r="L128" s="27"/>
    </row>
    <row r="129" spans="1:15" ht="36" customHeight="1" x14ac:dyDescent="0.25">
      <c r="A129" s="866" t="s">
        <v>1166</v>
      </c>
      <c r="B129" s="867"/>
      <c r="C129" s="867"/>
      <c r="D129" s="518"/>
      <c r="E129" s="518"/>
      <c r="F129" s="518"/>
      <c r="G129" s="27">
        <f>+L159</f>
        <v>1</v>
      </c>
      <c r="H129" s="530">
        <v>1</v>
      </c>
      <c r="I129" s="152"/>
      <c r="J129" s="152"/>
      <c r="K129" s="27"/>
      <c r="L129" s="27"/>
    </row>
    <row r="130" spans="1:15" ht="36" customHeight="1" x14ac:dyDescent="0.25">
      <c r="A130" s="866" t="s">
        <v>198</v>
      </c>
      <c r="B130" s="867"/>
      <c r="C130" s="867"/>
      <c r="D130" s="867"/>
      <c r="E130" s="867"/>
      <c r="F130" s="867"/>
      <c r="G130" s="27">
        <f>+L164</f>
        <v>0.67625899280575541</v>
      </c>
      <c r="H130" s="27">
        <v>0.78</v>
      </c>
      <c r="I130" s="27"/>
      <c r="J130" s="149"/>
      <c r="K130" s="149"/>
      <c r="L130" s="149"/>
    </row>
    <row r="131" spans="1:15" s="343" customFormat="1" ht="36" customHeight="1" x14ac:dyDescent="0.25">
      <c r="A131" s="934" t="s">
        <v>76</v>
      </c>
      <c r="B131" s="935"/>
      <c r="C131" s="935"/>
      <c r="D131" s="935"/>
      <c r="E131" s="935"/>
      <c r="F131" s="935"/>
      <c r="G131" s="342">
        <v>0.8</v>
      </c>
      <c r="H131" s="342">
        <v>0.8</v>
      </c>
      <c r="I131" s="342">
        <v>0.8</v>
      </c>
      <c r="J131" s="342">
        <v>0.8</v>
      </c>
      <c r="K131" s="342">
        <v>0.8</v>
      </c>
      <c r="L131" s="342">
        <v>0.8</v>
      </c>
    </row>
    <row r="132" spans="1:15" ht="29.25" customHeight="1" x14ac:dyDescent="0.25">
      <c r="A132" s="5"/>
    </row>
    <row r="133" spans="1:15" ht="40.5" customHeight="1" x14ac:dyDescent="0.25">
      <c r="A133" s="5"/>
      <c r="B133" s="28"/>
      <c r="C133" s="28"/>
      <c r="D133" s="340"/>
      <c r="G133" s="936" t="s">
        <v>951</v>
      </c>
      <c r="H133" s="936" t="s">
        <v>952</v>
      </c>
      <c r="I133" s="936" t="s">
        <v>953</v>
      </c>
      <c r="J133" s="1093" t="s">
        <v>1145</v>
      </c>
      <c r="K133" s="1093"/>
      <c r="L133" s="1093"/>
      <c r="M133" s="1093" t="s">
        <v>1167</v>
      </c>
      <c r="N133" s="1093"/>
      <c r="O133" s="1093"/>
    </row>
    <row r="134" spans="1:15" ht="59.25" customHeight="1" x14ac:dyDescent="0.25">
      <c r="A134" s="5"/>
      <c r="G134" s="937"/>
      <c r="H134" s="937"/>
      <c r="I134" s="937"/>
      <c r="J134" s="475" t="s">
        <v>954</v>
      </c>
      <c r="K134" s="476" t="s">
        <v>955</v>
      </c>
      <c r="L134" s="477"/>
      <c r="M134" s="478" t="s">
        <v>954</v>
      </c>
      <c r="N134" s="478" t="s">
        <v>955</v>
      </c>
      <c r="O134" s="479" t="s">
        <v>1147</v>
      </c>
    </row>
    <row r="135" spans="1:15" ht="36.75" customHeight="1" x14ac:dyDescent="0.3">
      <c r="B135" s="29"/>
      <c r="C135" s="30"/>
      <c r="D135" s="344"/>
      <c r="G135" s="859">
        <v>2016</v>
      </c>
      <c r="H135" s="861" t="s">
        <v>203</v>
      </c>
      <c r="I135" s="45" t="s">
        <v>212</v>
      </c>
      <c r="J135" s="167">
        <v>0</v>
      </c>
      <c r="K135" s="167">
        <v>1</v>
      </c>
      <c r="L135" s="480">
        <f t="shared" ref="L135:L164" si="3">+J135/K135</f>
        <v>0</v>
      </c>
      <c r="M135" s="245"/>
      <c r="N135" s="167"/>
      <c r="O135" s="167" t="s">
        <v>948</v>
      </c>
    </row>
    <row r="136" spans="1:15" ht="36.75" customHeight="1" x14ac:dyDescent="0.3">
      <c r="B136" s="29"/>
      <c r="C136" s="30"/>
      <c r="D136" s="344"/>
      <c r="G136" s="859"/>
      <c r="H136" s="861"/>
      <c r="I136" s="45" t="s">
        <v>213</v>
      </c>
      <c r="J136" s="167">
        <v>0</v>
      </c>
      <c r="K136" s="167">
        <v>2</v>
      </c>
      <c r="L136" s="480">
        <f t="shared" si="3"/>
        <v>0</v>
      </c>
      <c r="M136" s="245"/>
      <c r="N136" s="167"/>
      <c r="O136" s="167" t="s">
        <v>948</v>
      </c>
    </row>
    <row r="137" spans="1:15" ht="36.75" customHeight="1" x14ac:dyDescent="0.3">
      <c r="B137" s="29"/>
      <c r="C137" s="30"/>
      <c r="D137" s="344"/>
      <c r="G137" s="859"/>
      <c r="H137" s="861"/>
      <c r="I137" s="45" t="s">
        <v>214</v>
      </c>
      <c r="J137" s="167" t="s">
        <v>948</v>
      </c>
      <c r="K137" s="167" t="s">
        <v>948</v>
      </c>
      <c r="L137" s="480" t="s">
        <v>948</v>
      </c>
      <c r="M137" s="245"/>
      <c r="N137" s="167"/>
      <c r="O137" s="167" t="s">
        <v>948</v>
      </c>
    </row>
    <row r="138" spans="1:15" ht="36.75" customHeight="1" x14ac:dyDescent="0.3">
      <c r="B138" s="29"/>
      <c r="C138" s="30"/>
      <c r="D138" s="344"/>
      <c r="G138" s="859"/>
      <c r="H138" s="861"/>
      <c r="I138" s="45" t="s">
        <v>215</v>
      </c>
      <c r="J138" s="167" t="s">
        <v>948</v>
      </c>
      <c r="K138" s="167" t="s">
        <v>948</v>
      </c>
      <c r="L138" s="480" t="s">
        <v>948</v>
      </c>
      <c r="M138" s="245"/>
      <c r="N138" s="167"/>
      <c r="O138" s="167" t="s">
        <v>948</v>
      </c>
    </row>
    <row r="139" spans="1:15" ht="36.75" customHeight="1" x14ac:dyDescent="0.3">
      <c r="B139" s="29"/>
      <c r="C139" s="30"/>
      <c r="D139" s="344"/>
      <c r="G139" s="859"/>
      <c r="H139" s="861"/>
      <c r="I139" s="35" t="s">
        <v>216</v>
      </c>
      <c r="J139" s="168">
        <f>SUM(J135:J138)</f>
        <v>0</v>
      </c>
      <c r="K139" s="168">
        <f>SUM(K135:K138)</f>
        <v>3</v>
      </c>
      <c r="L139" s="483">
        <f t="shared" si="3"/>
        <v>0</v>
      </c>
      <c r="M139" s="531" t="s">
        <v>948</v>
      </c>
      <c r="N139" s="168" t="s">
        <v>948</v>
      </c>
      <c r="O139" s="168" t="s">
        <v>948</v>
      </c>
    </row>
    <row r="140" spans="1:15" ht="36.75" customHeight="1" x14ac:dyDescent="0.3">
      <c r="B140" s="29"/>
      <c r="C140" s="30"/>
      <c r="D140" s="344"/>
      <c r="G140" s="859"/>
      <c r="H140" s="861" t="s">
        <v>1168</v>
      </c>
      <c r="I140" s="45" t="s">
        <v>212</v>
      </c>
      <c r="J140" s="167">
        <v>3</v>
      </c>
      <c r="K140" s="167">
        <v>4</v>
      </c>
      <c r="L140" s="480">
        <f t="shared" si="3"/>
        <v>0.75</v>
      </c>
      <c r="M140" s="45">
        <v>7</v>
      </c>
      <c r="N140" s="167">
        <v>8</v>
      </c>
      <c r="O140" s="486">
        <f t="shared" ref="O140:O155" si="4">+M140/N140</f>
        <v>0.875</v>
      </c>
    </row>
    <row r="141" spans="1:15" ht="36.75" customHeight="1" x14ac:dyDescent="0.3">
      <c r="B141" s="29"/>
      <c r="C141" s="30"/>
      <c r="D141" s="344"/>
      <c r="G141" s="859"/>
      <c r="H141" s="861"/>
      <c r="I141" s="45" t="s">
        <v>213</v>
      </c>
      <c r="J141" s="167">
        <v>13</v>
      </c>
      <c r="K141" s="167">
        <v>15</v>
      </c>
      <c r="L141" s="480">
        <f t="shared" si="3"/>
        <v>0.8666666666666667</v>
      </c>
      <c r="M141" s="45">
        <v>19</v>
      </c>
      <c r="N141" s="167">
        <v>19</v>
      </c>
      <c r="O141" s="486">
        <f t="shared" si="4"/>
        <v>1</v>
      </c>
    </row>
    <row r="142" spans="1:15" ht="36.75" customHeight="1" x14ac:dyDescent="0.3">
      <c r="B142" s="29"/>
      <c r="C142" s="30"/>
      <c r="D142" s="344"/>
      <c r="G142" s="859"/>
      <c r="H142" s="861"/>
      <c r="I142" s="45" t="s">
        <v>214</v>
      </c>
      <c r="J142" s="167">
        <v>11</v>
      </c>
      <c r="K142" s="167">
        <v>21</v>
      </c>
      <c r="L142" s="480">
        <f t="shared" si="3"/>
        <v>0.52380952380952384</v>
      </c>
      <c r="M142" s="45">
        <v>29</v>
      </c>
      <c r="N142" s="167">
        <v>32</v>
      </c>
      <c r="O142" s="486">
        <f t="shared" si="4"/>
        <v>0.90625</v>
      </c>
    </row>
    <row r="143" spans="1:15" ht="36.75" customHeight="1" x14ac:dyDescent="0.3">
      <c r="B143" s="29"/>
      <c r="C143" s="30"/>
      <c r="D143" s="344"/>
      <c r="G143" s="859"/>
      <c r="H143" s="861"/>
      <c r="I143" s="45" t="s">
        <v>215</v>
      </c>
      <c r="J143" s="167">
        <v>16</v>
      </c>
      <c r="K143" s="167">
        <v>18</v>
      </c>
      <c r="L143" s="480">
        <f t="shared" si="3"/>
        <v>0.88888888888888884</v>
      </c>
      <c r="M143" s="45">
        <v>19</v>
      </c>
      <c r="N143" s="167">
        <v>19</v>
      </c>
      <c r="O143" s="486">
        <f t="shared" si="4"/>
        <v>1</v>
      </c>
    </row>
    <row r="144" spans="1:15" ht="36.75" customHeight="1" x14ac:dyDescent="0.3">
      <c r="B144" s="29"/>
      <c r="C144" s="30"/>
      <c r="D144" s="344"/>
      <c r="G144" s="859"/>
      <c r="H144" s="861"/>
      <c r="I144" s="35" t="s">
        <v>216</v>
      </c>
      <c r="J144" s="168">
        <f>SUM(J140:J143)</f>
        <v>43</v>
      </c>
      <c r="K144" s="168">
        <f>SUM(K140:K143)</f>
        <v>58</v>
      </c>
      <c r="L144" s="483">
        <f t="shared" si="3"/>
        <v>0.74137931034482762</v>
      </c>
      <c r="M144" s="35">
        <f>SUM(M140:M143)</f>
        <v>74</v>
      </c>
      <c r="N144" s="35">
        <f>SUM(N140:N143)</f>
        <v>78</v>
      </c>
      <c r="O144" s="532">
        <f t="shared" si="4"/>
        <v>0.94871794871794868</v>
      </c>
    </row>
    <row r="145" spans="2:15" ht="36.75" customHeight="1" x14ac:dyDescent="0.3">
      <c r="B145" s="29"/>
      <c r="C145" s="30"/>
      <c r="D145" s="344"/>
      <c r="G145" s="859"/>
      <c r="H145" s="861" t="s">
        <v>1169</v>
      </c>
      <c r="I145" s="45" t="s">
        <v>212</v>
      </c>
      <c r="J145" s="167">
        <v>2</v>
      </c>
      <c r="K145" s="167">
        <v>5</v>
      </c>
      <c r="L145" s="480">
        <f t="shared" si="3"/>
        <v>0.4</v>
      </c>
      <c r="M145" s="45">
        <v>4</v>
      </c>
      <c r="N145" s="167">
        <v>6</v>
      </c>
      <c r="O145" s="486">
        <f t="shared" si="4"/>
        <v>0.66666666666666663</v>
      </c>
    </row>
    <row r="146" spans="2:15" ht="36.75" customHeight="1" x14ac:dyDescent="0.3">
      <c r="B146" s="29"/>
      <c r="C146" s="30"/>
      <c r="D146" s="344"/>
      <c r="G146" s="859"/>
      <c r="H146" s="861"/>
      <c r="I146" s="45" t="s">
        <v>213</v>
      </c>
      <c r="J146" s="167">
        <v>2</v>
      </c>
      <c r="K146" s="167">
        <v>8</v>
      </c>
      <c r="L146" s="480">
        <f t="shared" si="3"/>
        <v>0.25</v>
      </c>
      <c r="M146" s="45">
        <v>15</v>
      </c>
      <c r="N146" s="167">
        <v>33</v>
      </c>
      <c r="O146" s="486">
        <f t="shared" si="4"/>
        <v>0.45454545454545453</v>
      </c>
    </row>
    <row r="147" spans="2:15" ht="36.75" customHeight="1" x14ac:dyDescent="0.3">
      <c r="B147" s="29"/>
      <c r="C147" s="30"/>
      <c r="D147" s="344"/>
      <c r="G147" s="859"/>
      <c r="H147" s="861"/>
      <c r="I147" s="45" t="s">
        <v>214</v>
      </c>
      <c r="J147" s="167">
        <v>5</v>
      </c>
      <c r="K147" s="167">
        <v>10</v>
      </c>
      <c r="L147" s="480">
        <f t="shared" si="3"/>
        <v>0.5</v>
      </c>
      <c r="M147" s="45">
        <v>13</v>
      </c>
      <c r="N147" s="167">
        <v>35</v>
      </c>
      <c r="O147" s="486">
        <f t="shared" si="4"/>
        <v>0.37142857142857144</v>
      </c>
    </row>
    <row r="148" spans="2:15" ht="36.75" customHeight="1" x14ac:dyDescent="0.3">
      <c r="B148" s="29"/>
      <c r="C148" s="30"/>
      <c r="D148" s="344"/>
      <c r="G148" s="859"/>
      <c r="H148" s="861"/>
      <c r="I148" s="45" t="s">
        <v>215</v>
      </c>
      <c r="J148" s="167">
        <v>2</v>
      </c>
      <c r="K148" s="167">
        <v>4</v>
      </c>
      <c r="L148" s="480">
        <f t="shared" si="3"/>
        <v>0.5</v>
      </c>
      <c r="M148" s="45">
        <v>16</v>
      </c>
      <c r="N148" s="167">
        <v>21</v>
      </c>
      <c r="O148" s="486">
        <f t="shared" si="4"/>
        <v>0.76190476190476186</v>
      </c>
    </row>
    <row r="149" spans="2:15" ht="36.75" customHeight="1" x14ac:dyDescent="0.3">
      <c r="B149" s="29"/>
      <c r="C149" s="30"/>
      <c r="D149" s="344"/>
      <c r="G149" s="859"/>
      <c r="H149" s="861"/>
      <c r="I149" s="35" t="s">
        <v>216</v>
      </c>
      <c r="J149" s="168">
        <f>SUM(J145:J148)</f>
        <v>11</v>
      </c>
      <c r="K149" s="168">
        <f>SUM(K145:K148)</f>
        <v>27</v>
      </c>
      <c r="L149" s="483">
        <f t="shared" si="3"/>
        <v>0.40740740740740738</v>
      </c>
      <c r="M149" s="35">
        <f>SUM(M145:M148)</f>
        <v>48</v>
      </c>
      <c r="N149" s="35">
        <f>SUM(N145:N148)</f>
        <v>95</v>
      </c>
      <c r="O149" s="532">
        <f t="shared" si="4"/>
        <v>0.50526315789473686</v>
      </c>
    </row>
    <row r="150" spans="2:15" ht="36.75" customHeight="1" x14ac:dyDescent="0.3">
      <c r="B150" s="29"/>
      <c r="C150" s="30"/>
      <c r="D150" s="344"/>
      <c r="G150" s="859"/>
      <c r="H150" s="861" t="s">
        <v>1170</v>
      </c>
      <c r="I150" s="45" t="s">
        <v>212</v>
      </c>
      <c r="J150" s="167">
        <v>3</v>
      </c>
      <c r="K150" s="167">
        <v>4</v>
      </c>
      <c r="L150" s="480">
        <f t="shared" si="3"/>
        <v>0.75</v>
      </c>
      <c r="M150" s="45">
        <v>5</v>
      </c>
      <c r="N150" s="167">
        <v>6</v>
      </c>
      <c r="O150" s="486">
        <f t="shared" si="4"/>
        <v>0.83333333333333337</v>
      </c>
    </row>
    <row r="151" spans="2:15" ht="36.75" customHeight="1" x14ac:dyDescent="0.3">
      <c r="B151" s="29"/>
      <c r="C151" s="30"/>
      <c r="D151" s="344"/>
      <c r="G151" s="859"/>
      <c r="H151" s="861"/>
      <c r="I151" s="45" t="s">
        <v>213</v>
      </c>
      <c r="J151" s="167">
        <v>11</v>
      </c>
      <c r="K151" s="167">
        <v>16</v>
      </c>
      <c r="L151" s="480">
        <f t="shared" si="3"/>
        <v>0.6875</v>
      </c>
      <c r="M151" s="45">
        <v>5</v>
      </c>
      <c r="N151" s="167">
        <v>8</v>
      </c>
      <c r="O151" s="486">
        <f t="shared" si="4"/>
        <v>0.625</v>
      </c>
    </row>
    <row r="152" spans="2:15" ht="36.75" customHeight="1" x14ac:dyDescent="0.3">
      <c r="B152" s="29"/>
      <c r="C152" s="30"/>
      <c r="D152" s="344"/>
      <c r="G152" s="859"/>
      <c r="H152" s="861"/>
      <c r="I152" s="45" t="s">
        <v>214</v>
      </c>
      <c r="J152" s="167">
        <v>11</v>
      </c>
      <c r="K152" s="167">
        <v>14</v>
      </c>
      <c r="L152" s="480">
        <f t="shared" si="3"/>
        <v>0.7857142857142857</v>
      </c>
      <c r="M152" s="45">
        <v>5</v>
      </c>
      <c r="N152" s="167">
        <v>5</v>
      </c>
      <c r="O152" s="486">
        <f t="shared" si="4"/>
        <v>1</v>
      </c>
    </row>
    <row r="153" spans="2:15" ht="36.75" customHeight="1" x14ac:dyDescent="0.3">
      <c r="B153" s="29"/>
      <c r="C153" s="30"/>
      <c r="D153" s="344"/>
      <c r="G153" s="859"/>
      <c r="H153" s="861"/>
      <c r="I153" s="45" t="s">
        <v>215</v>
      </c>
      <c r="J153" s="167">
        <v>14</v>
      </c>
      <c r="K153" s="167">
        <v>16</v>
      </c>
      <c r="L153" s="480">
        <f t="shared" si="3"/>
        <v>0.875</v>
      </c>
      <c r="M153" s="45">
        <v>7</v>
      </c>
      <c r="N153" s="167">
        <v>7</v>
      </c>
      <c r="O153" s="486">
        <f t="shared" si="4"/>
        <v>1</v>
      </c>
    </row>
    <row r="154" spans="2:15" ht="36.75" customHeight="1" x14ac:dyDescent="0.3">
      <c r="B154" s="29"/>
      <c r="C154" s="30"/>
      <c r="D154" s="344"/>
      <c r="G154" s="859"/>
      <c r="H154" s="861"/>
      <c r="I154" s="35" t="s">
        <v>216</v>
      </c>
      <c r="J154" s="168">
        <f>SUM(J150:J153)</f>
        <v>39</v>
      </c>
      <c r="K154" s="168">
        <f>SUM(K150:K153)</f>
        <v>50</v>
      </c>
      <c r="L154" s="483">
        <f t="shared" si="3"/>
        <v>0.78</v>
      </c>
      <c r="M154" s="35">
        <f>SUM(M150:M153)</f>
        <v>22</v>
      </c>
      <c r="N154" s="35">
        <f>SUM(N150:N153)</f>
        <v>26</v>
      </c>
      <c r="O154" s="532">
        <f t="shared" si="4"/>
        <v>0.84615384615384615</v>
      </c>
    </row>
    <row r="155" spans="2:15" ht="36.75" customHeight="1" x14ac:dyDescent="0.3">
      <c r="B155" s="29"/>
      <c r="C155" s="30"/>
      <c r="D155" s="344"/>
      <c r="G155" s="859"/>
      <c r="H155" s="862" t="s">
        <v>957</v>
      </c>
      <c r="I155" s="45" t="s">
        <v>212</v>
      </c>
      <c r="J155" s="167" t="s">
        <v>948</v>
      </c>
      <c r="K155" s="167" t="s">
        <v>948</v>
      </c>
      <c r="L155" s="480" t="s">
        <v>948</v>
      </c>
      <c r="M155" s="45">
        <v>1</v>
      </c>
      <c r="N155" s="167">
        <v>1</v>
      </c>
      <c r="O155" s="486">
        <f t="shared" si="4"/>
        <v>1</v>
      </c>
    </row>
    <row r="156" spans="2:15" ht="36.75" customHeight="1" x14ac:dyDescent="0.3">
      <c r="B156" s="29"/>
      <c r="C156" s="30"/>
      <c r="D156" s="344"/>
      <c r="G156" s="859"/>
      <c r="H156" s="932"/>
      <c r="I156" s="45" t="s">
        <v>213</v>
      </c>
      <c r="J156" s="167">
        <v>1</v>
      </c>
      <c r="K156" s="167">
        <v>1</v>
      </c>
      <c r="L156" s="480">
        <f t="shared" si="3"/>
        <v>1</v>
      </c>
      <c r="M156" s="45"/>
      <c r="N156" s="167"/>
      <c r="O156" s="167"/>
    </row>
    <row r="157" spans="2:15" ht="36.75" customHeight="1" x14ac:dyDescent="0.3">
      <c r="B157" s="29"/>
      <c r="C157" s="30"/>
      <c r="D157" s="344"/>
      <c r="G157" s="859"/>
      <c r="H157" s="932"/>
      <c r="I157" s="45" t="s">
        <v>214</v>
      </c>
      <c r="J157" s="167" t="s">
        <v>948</v>
      </c>
      <c r="K157" s="167" t="s">
        <v>948</v>
      </c>
      <c r="L157" s="480" t="s">
        <v>948</v>
      </c>
      <c r="M157" s="45"/>
      <c r="N157" s="167"/>
      <c r="O157" s="167"/>
    </row>
    <row r="158" spans="2:15" ht="36.75" customHeight="1" x14ac:dyDescent="0.3">
      <c r="B158" s="29"/>
      <c r="C158" s="30"/>
      <c r="D158" s="344"/>
      <c r="G158" s="859"/>
      <c r="H158" s="932"/>
      <c r="I158" s="45" t="s">
        <v>215</v>
      </c>
      <c r="J158" s="167" t="s">
        <v>948</v>
      </c>
      <c r="K158" s="167" t="s">
        <v>948</v>
      </c>
      <c r="L158" s="480" t="s">
        <v>948</v>
      </c>
      <c r="M158" s="45"/>
      <c r="N158" s="167"/>
      <c r="O158" s="167"/>
    </row>
    <row r="159" spans="2:15" ht="36.75" customHeight="1" x14ac:dyDescent="0.3">
      <c r="B159" s="29"/>
      <c r="C159" s="30"/>
      <c r="D159" s="344"/>
      <c r="G159" s="859"/>
      <c r="H159" s="864"/>
      <c r="I159" s="35" t="s">
        <v>216</v>
      </c>
      <c r="J159" s="168">
        <f>SUM(J155:J158)</f>
        <v>1</v>
      </c>
      <c r="K159" s="168">
        <f>SUM(K155:K158)</f>
        <v>1</v>
      </c>
      <c r="L159" s="483">
        <f t="shared" si="3"/>
        <v>1</v>
      </c>
      <c r="M159" s="35">
        <f>SUM(M155:M158)</f>
        <v>1</v>
      </c>
      <c r="N159" s="35">
        <f>SUM(N155:N158)</f>
        <v>1</v>
      </c>
      <c r="O159" s="532">
        <f t="shared" ref="O159:O164" si="5">+M159/N159</f>
        <v>1</v>
      </c>
    </row>
    <row r="160" spans="2:15" ht="36.75" customHeight="1" x14ac:dyDescent="0.3">
      <c r="B160" s="29"/>
      <c r="C160" s="30"/>
      <c r="D160" s="344"/>
      <c r="G160" s="859"/>
      <c r="H160" s="933" t="s">
        <v>81</v>
      </c>
      <c r="I160" s="45" t="s">
        <v>212</v>
      </c>
      <c r="J160" s="167">
        <f>+J135+J140+J145+J150</f>
        <v>8</v>
      </c>
      <c r="K160" s="167">
        <f>+K135+K140+K145+K150</f>
        <v>14</v>
      </c>
      <c r="L160" s="480">
        <f t="shared" si="3"/>
        <v>0.5714285714285714</v>
      </c>
      <c r="M160" s="45">
        <f>+M140+M145+M150+M155</f>
        <v>17</v>
      </c>
      <c r="N160" s="45">
        <f>+N140+N145+N150+N155</f>
        <v>21</v>
      </c>
      <c r="O160" s="486">
        <f t="shared" si="5"/>
        <v>0.80952380952380953</v>
      </c>
    </row>
    <row r="161" spans="1:15" ht="36.75" customHeight="1" x14ac:dyDescent="0.3">
      <c r="B161" s="29"/>
      <c r="C161" s="30"/>
      <c r="D161" s="344"/>
      <c r="G161" s="859"/>
      <c r="H161" s="933"/>
      <c r="I161" s="45" t="s">
        <v>213</v>
      </c>
      <c r="J161" s="167">
        <f>+J136+J141+J146+J151+J156</f>
        <v>27</v>
      </c>
      <c r="K161" s="167">
        <f>+K136+K141+K146+K151+K156</f>
        <v>42</v>
      </c>
      <c r="L161" s="480">
        <f>+J161/K161</f>
        <v>0.6428571428571429</v>
      </c>
      <c r="M161" s="45">
        <f>+M141+M146+M151</f>
        <v>39</v>
      </c>
      <c r="N161" s="45">
        <f>+N141+N146+N151+N156</f>
        <v>60</v>
      </c>
      <c r="O161" s="486">
        <f t="shared" si="5"/>
        <v>0.65</v>
      </c>
    </row>
    <row r="162" spans="1:15" ht="36.75" customHeight="1" x14ac:dyDescent="0.3">
      <c r="B162" s="29"/>
      <c r="C162" s="30"/>
      <c r="D162" s="344"/>
      <c r="G162" s="859"/>
      <c r="H162" s="933"/>
      <c r="I162" s="45" t="s">
        <v>214</v>
      </c>
      <c r="J162" s="167">
        <f>J142+J147+J152</f>
        <v>27</v>
      </c>
      <c r="K162" s="167">
        <f>K142+K147+K152</f>
        <v>45</v>
      </c>
      <c r="L162" s="480">
        <f t="shared" si="3"/>
        <v>0.6</v>
      </c>
      <c r="M162" s="45">
        <f>+M142+M147+M152+M157</f>
        <v>47</v>
      </c>
      <c r="N162" s="45">
        <f>+N142+N147+N152+N157</f>
        <v>72</v>
      </c>
      <c r="O162" s="486">
        <f t="shared" si="5"/>
        <v>0.65277777777777779</v>
      </c>
    </row>
    <row r="163" spans="1:15" ht="36.75" customHeight="1" x14ac:dyDescent="0.3">
      <c r="B163" s="29"/>
      <c r="C163" s="30"/>
      <c r="D163" s="344"/>
      <c r="G163" s="859"/>
      <c r="H163" s="933"/>
      <c r="I163" s="45" t="s">
        <v>215</v>
      </c>
      <c r="J163" s="167">
        <f>J143+J148+J153</f>
        <v>32</v>
      </c>
      <c r="K163" s="167">
        <f>K143+K148+K153</f>
        <v>38</v>
      </c>
      <c r="L163" s="480">
        <f t="shared" si="3"/>
        <v>0.84210526315789469</v>
      </c>
      <c r="M163" s="45">
        <f>+M143+M148+M153+M158</f>
        <v>42</v>
      </c>
      <c r="N163" s="45">
        <f>+N143+N148+N153+N158</f>
        <v>47</v>
      </c>
      <c r="O163" s="486">
        <f t="shared" si="5"/>
        <v>0.8936170212765957</v>
      </c>
    </row>
    <row r="164" spans="1:15" ht="36.75" customHeight="1" x14ac:dyDescent="0.3">
      <c r="B164" s="29"/>
      <c r="C164" s="30"/>
      <c r="D164" s="344"/>
      <c r="G164" s="859"/>
      <c r="H164" s="933"/>
      <c r="I164" s="35" t="s">
        <v>81</v>
      </c>
      <c r="J164" s="168">
        <f>SUM(J160:J163)</f>
        <v>94</v>
      </c>
      <c r="K164" s="168">
        <f>SUM(K160:K163)</f>
        <v>139</v>
      </c>
      <c r="L164" s="483">
        <f t="shared" si="3"/>
        <v>0.67625899280575541</v>
      </c>
      <c r="M164" s="35">
        <f>SUM(M160:M163)</f>
        <v>145</v>
      </c>
      <c r="N164" s="35">
        <f>SUM(N160:N163)</f>
        <v>200</v>
      </c>
      <c r="O164" s="532">
        <f t="shared" si="5"/>
        <v>0.72499999999999998</v>
      </c>
    </row>
    <row r="165" spans="1:15" ht="36.75" customHeight="1" x14ac:dyDescent="0.3">
      <c r="B165" s="29"/>
      <c r="C165" s="30"/>
      <c r="D165" s="344"/>
      <c r="G165" s="219"/>
      <c r="H165" s="220"/>
      <c r="I165" s="221"/>
      <c r="J165" s="222"/>
      <c r="K165" s="222"/>
      <c r="L165" s="223"/>
      <c r="M165" s="515"/>
      <c r="N165" s="515"/>
      <c r="O165" s="515"/>
    </row>
    <row r="166" spans="1:15" ht="46.5" customHeight="1" x14ac:dyDescent="0.25">
      <c r="A166" s="885" t="str">
        <f>+D14</f>
        <v>Porcentaje de autorizaciones ambientales con seguimiento en función de cantidad de autorizaciones</v>
      </c>
      <c r="B166" s="885"/>
      <c r="C166" s="885"/>
      <c r="D166" s="885"/>
      <c r="E166" s="885"/>
      <c r="F166" s="885"/>
      <c r="G166" s="885"/>
      <c r="H166" s="885"/>
      <c r="I166" s="885"/>
      <c r="J166" s="885"/>
      <c r="K166" s="885"/>
      <c r="L166" s="885"/>
      <c r="M166" s="885"/>
      <c r="N166" s="885"/>
      <c r="O166" s="885"/>
    </row>
    <row r="168" spans="1:15" ht="39.75" customHeight="1" x14ac:dyDescent="0.25">
      <c r="A168" s="931" t="s">
        <v>958</v>
      </c>
      <c r="B168" s="931"/>
      <c r="C168" s="931"/>
      <c r="D168" s="931"/>
      <c r="E168" s="931"/>
      <c r="F168" s="931"/>
      <c r="G168" s="345">
        <v>2016</v>
      </c>
      <c r="H168" s="345">
        <v>2017</v>
      </c>
      <c r="I168" s="345">
        <v>2018</v>
      </c>
      <c r="J168" s="345">
        <v>2019</v>
      </c>
      <c r="K168" s="345" t="s">
        <v>959</v>
      </c>
    </row>
    <row r="169" spans="1:15" ht="45" customHeight="1" x14ac:dyDescent="0.25">
      <c r="A169" s="920" t="s">
        <v>960</v>
      </c>
      <c r="B169" s="920"/>
      <c r="C169" s="920"/>
      <c r="D169" s="920"/>
      <c r="E169" s="920"/>
      <c r="F169" s="920"/>
      <c r="G169" s="346">
        <f>+H182</f>
        <v>0.78125</v>
      </c>
      <c r="H169" s="346">
        <f>+I182</f>
        <v>0.59259259259259256</v>
      </c>
      <c r="I169" s="346" t="e">
        <f>+J182</f>
        <v>#DIV/0!</v>
      </c>
      <c r="J169" s="346" t="e">
        <f>+K182</f>
        <v>#DIV/0!</v>
      </c>
      <c r="K169" s="346" t="e">
        <f>+L182</f>
        <v>#DIV/0!</v>
      </c>
    </row>
    <row r="170" spans="1:15" ht="45" customHeight="1" x14ac:dyDescent="0.25">
      <c r="A170" s="920" t="s">
        <v>961</v>
      </c>
      <c r="B170" s="920"/>
      <c r="C170" s="920"/>
      <c r="D170" s="920"/>
      <c r="E170" s="920"/>
      <c r="F170" s="920"/>
      <c r="G170" s="346">
        <f>+H185</f>
        <v>0.80088495575221241</v>
      </c>
      <c r="H170" s="346">
        <f>+I185</f>
        <v>0.83490566037735847</v>
      </c>
      <c r="I170" s="346" t="e">
        <f>+J185</f>
        <v>#DIV/0!</v>
      </c>
      <c r="J170" s="346" t="e">
        <f>+K185</f>
        <v>#DIV/0!</v>
      </c>
      <c r="K170" s="346" t="e">
        <f>+L185</f>
        <v>#DIV/0!</v>
      </c>
    </row>
    <row r="171" spans="1:15" ht="45" customHeight="1" x14ac:dyDescent="0.25">
      <c r="A171" s="920" t="s">
        <v>962</v>
      </c>
      <c r="B171" s="920"/>
      <c r="C171" s="920"/>
      <c r="D171" s="920"/>
      <c r="E171" s="920"/>
      <c r="F171" s="920"/>
      <c r="G171" s="346">
        <f>+H188</f>
        <v>0.66</v>
      </c>
      <c r="H171" s="346">
        <f>+I188</f>
        <v>0.93333333333333335</v>
      </c>
      <c r="I171" s="346" t="e">
        <f>+J188</f>
        <v>#DIV/0!</v>
      </c>
      <c r="J171" s="346" t="e">
        <f>+K188</f>
        <v>#DIV/0!</v>
      </c>
      <c r="K171" s="346" t="e">
        <f>+L188</f>
        <v>#DIV/0!</v>
      </c>
    </row>
    <row r="172" spans="1:15" ht="45" customHeight="1" x14ac:dyDescent="0.25">
      <c r="A172" s="920" t="s">
        <v>963</v>
      </c>
      <c r="B172" s="920"/>
      <c r="C172" s="920"/>
      <c r="D172" s="920"/>
      <c r="E172" s="920"/>
      <c r="F172" s="920"/>
      <c r="G172" s="346">
        <f>+H191</f>
        <v>1.0135135135135136</v>
      </c>
      <c r="H172" s="346">
        <f>+I191</f>
        <v>0.83333333333333337</v>
      </c>
      <c r="I172" s="346" t="e">
        <f>+J191</f>
        <v>#DIV/0!</v>
      </c>
      <c r="J172" s="346" t="e">
        <f>+K191</f>
        <v>#DIV/0!</v>
      </c>
      <c r="K172" s="346" t="e">
        <f>+L191</f>
        <v>#DIV/0!</v>
      </c>
    </row>
    <row r="173" spans="1:15" ht="45" customHeight="1" x14ac:dyDescent="0.25">
      <c r="A173" s="920" t="s">
        <v>964</v>
      </c>
      <c r="B173" s="920"/>
      <c r="C173" s="920"/>
      <c r="D173" s="920"/>
      <c r="E173" s="920"/>
      <c r="F173" s="920"/>
      <c r="G173" s="346">
        <f>+H194</f>
        <v>1</v>
      </c>
      <c r="H173" s="346">
        <f>+I194</f>
        <v>0.66666666666666663</v>
      </c>
      <c r="I173" s="346" t="e">
        <f>+J194</f>
        <v>#DIV/0!</v>
      </c>
      <c r="J173" s="346" t="e">
        <f>+K194</f>
        <v>#DIV/0!</v>
      </c>
      <c r="K173" s="346" t="e">
        <f>+L194</f>
        <v>#DIV/0!</v>
      </c>
    </row>
    <row r="174" spans="1:15" ht="45" customHeight="1" x14ac:dyDescent="0.25">
      <c r="A174" s="921" t="s">
        <v>965</v>
      </c>
      <c r="B174" s="922"/>
      <c r="C174" s="922"/>
      <c r="D174" s="922"/>
      <c r="E174" s="922"/>
      <c r="F174" s="923"/>
      <c r="G174" s="346">
        <f>+H197</f>
        <v>0.82291666666666663</v>
      </c>
      <c r="H174" s="346">
        <f>+I197</f>
        <v>0.83993660855784469</v>
      </c>
      <c r="I174" s="346"/>
      <c r="J174" s="346"/>
      <c r="K174" s="346"/>
    </row>
    <row r="175" spans="1:15" ht="47.25" customHeight="1" x14ac:dyDescent="0.25">
      <c r="A175" s="920" t="s">
        <v>966</v>
      </c>
      <c r="B175" s="920"/>
      <c r="C175" s="920"/>
      <c r="D175" s="920"/>
      <c r="E175" s="920"/>
      <c r="F175" s="920"/>
      <c r="G175" s="346">
        <v>0.8</v>
      </c>
      <c r="H175" s="346">
        <v>0.8</v>
      </c>
      <c r="I175" s="346">
        <v>0.8</v>
      </c>
      <c r="J175" s="346">
        <v>0.8</v>
      </c>
      <c r="K175" s="346">
        <v>0.8</v>
      </c>
    </row>
    <row r="176" spans="1:15" x14ac:dyDescent="0.25">
      <c r="A176" s="5"/>
    </row>
    <row r="177" spans="1:17" ht="32.25" customHeight="1" x14ac:dyDescent="0.25">
      <c r="A177" s="904" t="s">
        <v>958</v>
      </c>
      <c r="B177" s="905"/>
      <c r="C177" s="905"/>
      <c r="D177" s="905"/>
      <c r="E177" s="905"/>
      <c r="F177" s="905"/>
      <c r="G177" s="905"/>
      <c r="H177" s="905"/>
      <c r="I177" s="905"/>
      <c r="J177" s="905"/>
      <c r="K177" s="905"/>
      <c r="L177" s="905"/>
    </row>
    <row r="178" spans="1:17" s="351" customFormat="1" ht="17.5" x14ac:dyDescent="0.35">
      <c r="A178" s="924" t="s">
        <v>919</v>
      </c>
      <c r="B178" s="347"/>
      <c r="C178" s="347" t="s">
        <v>967</v>
      </c>
      <c r="D178" s="348" t="s">
        <v>968</v>
      </c>
      <c r="E178" s="347" t="s">
        <v>969</v>
      </c>
      <c r="F178" s="347" t="s">
        <v>970</v>
      </c>
      <c r="G178" s="349" t="s">
        <v>920</v>
      </c>
      <c r="H178" s="350" t="s">
        <v>921</v>
      </c>
      <c r="I178" s="350" t="s">
        <v>922</v>
      </c>
      <c r="J178" s="350" t="s">
        <v>923</v>
      </c>
      <c r="K178" s="350" t="s">
        <v>924</v>
      </c>
      <c r="L178" s="350" t="s">
        <v>959</v>
      </c>
      <c r="O178" s="300"/>
      <c r="P178" s="300"/>
      <c r="Q178" s="300"/>
    </row>
    <row r="179" spans="1:17" s="351" customFormat="1" ht="41.25" customHeight="1" x14ac:dyDescent="0.35">
      <c r="A179" s="925"/>
      <c r="B179" s="347" t="s">
        <v>971</v>
      </c>
      <c r="C179" s="347" t="s">
        <v>972</v>
      </c>
      <c r="D179" s="380" t="s">
        <v>1171</v>
      </c>
      <c r="E179" s="347"/>
      <c r="F179" s="347"/>
      <c r="G179" s="352"/>
      <c r="H179" s="353" t="s">
        <v>1172</v>
      </c>
      <c r="I179" s="353" t="s">
        <v>1173</v>
      </c>
      <c r="J179" s="353" t="s">
        <v>926</v>
      </c>
      <c r="K179" s="353" t="s">
        <v>926</v>
      </c>
      <c r="L179" s="347"/>
      <c r="O179" s="300"/>
      <c r="P179" s="300"/>
      <c r="Q179" s="300"/>
    </row>
    <row r="180" spans="1:17" ht="45" customHeight="1" x14ac:dyDescent="0.25">
      <c r="A180" s="895" t="s">
        <v>973</v>
      </c>
      <c r="B180" s="520" t="s">
        <v>974</v>
      </c>
      <c r="C180" s="533">
        <v>36</v>
      </c>
      <c r="D180" s="534">
        <v>34</v>
      </c>
      <c r="E180" s="331"/>
      <c r="F180" s="331"/>
      <c r="G180" s="521" t="s">
        <v>975</v>
      </c>
      <c r="H180" s="535">
        <v>32</v>
      </c>
      <c r="I180" s="536">
        <f>+D181</f>
        <v>27</v>
      </c>
      <c r="J180" s="311"/>
      <c r="K180" s="320"/>
      <c r="L180" s="331"/>
      <c r="O180" s="356"/>
      <c r="P180" s="356"/>
      <c r="Q180" s="356"/>
    </row>
    <row r="181" spans="1:17" ht="24" customHeight="1" x14ac:dyDescent="0.25">
      <c r="A181" s="895"/>
      <c r="B181" s="926" t="s">
        <v>976</v>
      </c>
      <c r="C181" s="1089">
        <v>36</v>
      </c>
      <c r="D181" s="1091">
        <f>INT(+D180*0.8)</f>
        <v>27</v>
      </c>
      <c r="E181" s="914"/>
      <c r="F181" s="914"/>
      <c r="G181" s="521" t="s">
        <v>977</v>
      </c>
      <c r="H181" s="535">
        <v>25</v>
      </c>
      <c r="I181" s="536">
        <v>16</v>
      </c>
      <c r="J181" s="311"/>
      <c r="K181" s="320"/>
      <c r="L181" s="331"/>
      <c r="O181" s="357"/>
      <c r="P181" s="357"/>
      <c r="Q181" s="357"/>
    </row>
    <row r="182" spans="1:17" ht="41.25" customHeight="1" x14ac:dyDescent="0.25">
      <c r="A182" s="895"/>
      <c r="B182" s="926"/>
      <c r="C182" s="1090"/>
      <c r="D182" s="1092"/>
      <c r="E182" s="915"/>
      <c r="F182" s="915"/>
      <c r="G182" s="358" t="s">
        <v>978</v>
      </c>
      <c r="H182" s="537">
        <f>+H181/H180</f>
        <v>0.78125</v>
      </c>
      <c r="I182" s="538">
        <f>+I181/I180</f>
        <v>0.59259259259259256</v>
      </c>
      <c r="J182" s="359" t="e">
        <f>+J181/J180</f>
        <v>#DIV/0!</v>
      </c>
      <c r="K182" s="359" t="e">
        <f>+K181/K180</f>
        <v>#DIV/0!</v>
      </c>
      <c r="L182" s="359" t="e">
        <f>+L181/L180</f>
        <v>#DIV/0!</v>
      </c>
      <c r="O182" s="357"/>
      <c r="P182" s="357"/>
      <c r="Q182" s="357"/>
    </row>
    <row r="183" spans="1:17" ht="35.25" customHeight="1" x14ac:dyDescent="0.25">
      <c r="A183" s="895" t="s">
        <v>979</v>
      </c>
      <c r="B183" s="521" t="s">
        <v>980</v>
      </c>
      <c r="C183" s="534">
        <v>512</v>
      </c>
      <c r="D183" s="534">
        <v>455</v>
      </c>
      <c r="E183" s="331"/>
      <c r="F183" s="331"/>
      <c r="G183" s="521" t="s">
        <v>981</v>
      </c>
      <c r="H183" s="535">
        <f>INT(0.8*C184/2)</f>
        <v>226</v>
      </c>
      <c r="I183" s="539">
        <f>+D184</f>
        <v>424</v>
      </c>
      <c r="J183" s="361"/>
      <c r="K183" s="361"/>
      <c r="L183" s="331"/>
      <c r="O183" s="357"/>
      <c r="P183" s="357"/>
      <c r="Q183" s="357"/>
    </row>
    <row r="184" spans="1:17" ht="35.25" customHeight="1" x14ac:dyDescent="0.25">
      <c r="A184" s="895"/>
      <c r="B184" s="521" t="s">
        <v>982</v>
      </c>
      <c r="C184" s="534">
        <v>566</v>
      </c>
      <c r="D184" s="534">
        <v>424</v>
      </c>
      <c r="E184" s="331"/>
      <c r="F184" s="331"/>
      <c r="G184" s="521" t="s">
        <v>983</v>
      </c>
      <c r="H184" s="535">
        <v>181</v>
      </c>
      <c r="I184" s="539">
        <v>354</v>
      </c>
      <c r="J184" s="331"/>
      <c r="K184" s="331"/>
      <c r="L184" s="331"/>
      <c r="O184" s="357"/>
      <c r="P184" s="357"/>
      <c r="Q184" s="357"/>
    </row>
    <row r="185" spans="1:17" ht="30" customHeight="1" x14ac:dyDescent="0.25">
      <c r="A185" s="895"/>
      <c r="B185" s="521" t="s">
        <v>984</v>
      </c>
      <c r="C185" s="534">
        <v>596</v>
      </c>
      <c r="D185" s="534">
        <v>516</v>
      </c>
      <c r="E185" s="331"/>
      <c r="F185" s="331"/>
      <c r="G185" s="358" t="s">
        <v>961</v>
      </c>
      <c r="H185" s="540">
        <f>+H184/H183</f>
        <v>0.80088495575221241</v>
      </c>
      <c r="I185" s="541">
        <f>+I184/I183</f>
        <v>0.83490566037735847</v>
      </c>
      <c r="J185" s="364" t="e">
        <f>+J184/J183</f>
        <v>#DIV/0!</v>
      </c>
      <c r="K185" s="364" t="e">
        <f>+K184/K183</f>
        <v>#DIV/0!</v>
      </c>
      <c r="L185" s="364" t="e">
        <f>+L184/L183</f>
        <v>#DIV/0!</v>
      </c>
      <c r="O185" s="357"/>
      <c r="P185" s="357"/>
      <c r="Q185" s="357"/>
    </row>
    <row r="186" spans="1:17" ht="24" x14ac:dyDescent="0.25">
      <c r="A186" s="895" t="s">
        <v>985</v>
      </c>
      <c r="B186" s="521" t="s">
        <v>986</v>
      </c>
      <c r="C186" s="534">
        <v>512</v>
      </c>
      <c r="D186" s="534">
        <v>512</v>
      </c>
      <c r="E186" s="331"/>
      <c r="F186" s="331"/>
      <c r="G186" s="521" t="s">
        <v>987</v>
      </c>
      <c r="H186" s="362">
        <f>INT(0.8*C187)</f>
        <v>50</v>
      </c>
      <c r="I186" s="542">
        <f>+D187</f>
        <v>105</v>
      </c>
      <c r="J186" s="331"/>
      <c r="K186" s="331"/>
      <c r="L186" s="331"/>
      <c r="O186" s="357"/>
      <c r="P186" s="357"/>
      <c r="Q186" s="357"/>
    </row>
    <row r="187" spans="1:17" ht="24" x14ac:dyDescent="0.25">
      <c r="A187" s="895"/>
      <c r="B187" s="521" t="s">
        <v>988</v>
      </c>
      <c r="C187" s="534">
        <v>63</v>
      </c>
      <c r="D187" s="534">
        <v>105</v>
      </c>
      <c r="E187" s="331"/>
      <c r="F187" s="331"/>
      <c r="G187" s="521" t="s">
        <v>989</v>
      </c>
      <c r="H187" s="362">
        <v>33</v>
      </c>
      <c r="I187" s="542">
        <v>98</v>
      </c>
      <c r="J187" s="331"/>
      <c r="K187" s="331"/>
      <c r="L187" s="331"/>
      <c r="O187" s="357"/>
      <c r="P187" s="357"/>
      <c r="Q187" s="357"/>
    </row>
    <row r="188" spans="1:17" ht="24" x14ac:dyDescent="0.25">
      <c r="A188" s="895"/>
      <c r="B188" s="521" t="s">
        <v>990</v>
      </c>
      <c r="C188" s="534">
        <v>512</v>
      </c>
      <c r="D188" s="534">
        <v>105</v>
      </c>
      <c r="E188" s="331"/>
      <c r="F188" s="331"/>
      <c r="G188" s="358" t="s">
        <v>962</v>
      </c>
      <c r="H188" s="365">
        <f>+H187/H186</f>
        <v>0.66</v>
      </c>
      <c r="I188" s="543">
        <f>+I187/I186</f>
        <v>0.93333333333333335</v>
      </c>
      <c r="J188" s="366" t="e">
        <f>+J187/J186</f>
        <v>#DIV/0!</v>
      </c>
      <c r="K188" s="366" t="e">
        <f>+K187/K186</f>
        <v>#DIV/0!</v>
      </c>
      <c r="L188" s="366" t="e">
        <f>+L187/L186</f>
        <v>#DIV/0!</v>
      </c>
      <c r="O188" s="357"/>
      <c r="P188" s="357"/>
      <c r="Q188" s="357"/>
    </row>
    <row r="189" spans="1:17" ht="43.5" customHeight="1" x14ac:dyDescent="0.25">
      <c r="A189" s="895" t="s">
        <v>943</v>
      </c>
      <c r="B189" s="521" t="s">
        <v>991</v>
      </c>
      <c r="C189" s="534">
        <v>74</v>
      </c>
      <c r="D189" s="534">
        <v>90</v>
      </c>
      <c r="E189" s="331"/>
      <c r="F189" s="331"/>
      <c r="G189" s="521" t="s">
        <v>992</v>
      </c>
      <c r="H189" s="362">
        <v>74</v>
      </c>
      <c r="I189" s="542">
        <f>+D190</f>
        <v>72</v>
      </c>
      <c r="J189" s="331"/>
      <c r="K189" s="331"/>
      <c r="L189" s="331"/>
      <c r="O189" s="357"/>
      <c r="P189" s="357"/>
      <c r="Q189" s="357"/>
    </row>
    <row r="190" spans="1:17" ht="24" x14ac:dyDescent="0.25">
      <c r="A190" s="895"/>
      <c r="B190" s="896" t="s">
        <v>993</v>
      </c>
      <c r="C190" s="1087">
        <v>74</v>
      </c>
      <c r="D190" s="1087">
        <f>+D189*0.8</f>
        <v>72</v>
      </c>
      <c r="E190" s="914"/>
      <c r="F190" s="914"/>
      <c r="G190" s="521" t="s">
        <v>994</v>
      </c>
      <c r="H190" s="362">
        <v>75</v>
      </c>
      <c r="I190" s="542">
        <v>60</v>
      </c>
      <c r="J190" s="331"/>
      <c r="K190" s="331"/>
      <c r="L190" s="331"/>
      <c r="O190" s="357"/>
      <c r="P190" s="357"/>
      <c r="Q190" s="357"/>
    </row>
    <row r="191" spans="1:17" ht="24" x14ac:dyDescent="0.25">
      <c r="A191" s="895"/>
      <c r="B191" s="896"/>
      <c r="C191" s="1087"/>
      <c r="D191" s="1087"/>
      <c r="E191" s="915"/>
      <c r="F191" s="915"/>
      <c r="G191" s="367" t="s">
        <v>963</v>
      </c>
      <c r="H191" s="368">
        <f>+H190/H189</f>
        <v>1.0135135135135136</v>
      </c>
      <c r="I191" s="368">
        <f>+I190/I189</f>
        <v>0.83333333333333337</v>
      </c>
      <c r="J191" s="369" t="e">
        <f>+J190/J189</f>
        <v>#DIV/0!</v>
      </c>
      <c r="K191" s="369" t="e">
        <f>+K190/K189</f>
        <v>#DIV/0!</v>
      </c>
      <c r="L191" s="369" t="e">
        <f>+L190/L189</f>
        <v>#DIV/0!</v>
      </c>
      <c r="O191" s="357"/>
      <c r="P191" s="357"/>
      <c r="Q191" s="357"/>
    </row>
    <row r="192" spans="1:17" ht="24" x14ac:dyDescent="0.25">
      <c r="A192" s="895" t="s">
        <v>995</v>
      </c>
      <c r="B192" s="521" t="s">
        <v>996</v>
      </c>
      <c r="C192" s="534">
        <v>2</v>
      </c>
      <c r="D192" s="534">
        <v>4</v>
      </c>
      <c r="E192" s="331"/>
      <c r="F192" s="331"/>
      <c r="G192" s="521" t="s">
        <v>997</v>
      </c>
      <c r="H192" s="362">
        <v>2</v>
      </c>
      <c r="I192" s="542">
        <f>+D193</f>
        <v>3</v>
      </c>
      <c r="J192" s="331"/>
      <c r="K192" s="331"/>
      <c r="L192" s="331"/>
      <c r="O192" s="357"/>
      <c r="P192" s="357"/>
      <c r="Q192" s="357"/>
    </row>
    <row r="193" spans="1:17" ht="24" x14ac:dyDescent="0.25">
      <c r="A193" s="895"/>
      <c r="B193" s="896" t="s">
        <v>998</v>
      </c>
      <c r="C193" s="1087">
        <v>2</v>
      </c>
      <c r="D193" s="1087">
        <f>+INT(D192*0.8)</f>
        <v>3</v>
      </c>
      <c r="E193" s="914"/>
      <c r="F193" s="914"/>
      <c r="G193" s="521" t="s">
        <v>999</v>
      </c>
      <c r="H193" s="362">
        <v>2</v>
      </c>
      <c r="I193" s="542">
        <v>2</v>
      </c>
      <c r="J193" s="331"/>
      <c r="K193" s="331"/>
      <c r="L193" s="331"/>
      <c r="O193" s="28"/>
      <c r="P193" s="28"/>
      <c r="Q193" s="28"/>
    </row>
    <row r="194" spans="1:17" ht="24" x14ac:dyDescent="0.25">
      <c r="A194" s="895"/>
      <c r="B194" s="896"/>
      <c r="C194" s="1087"/>
      <c r="D194" s="1087"/>
      <c r="E194" s="915"/>
      <c r="F194" s="915"/>
      <c r="G194" s="358" t="s">
        <v>964</v>
      </c>
      <c r="H194" s="368">
        <f>+H193/H192</f>
        <v>1</v>
      </c>
      <c r="I194" s="368">
        <f>+I193/I192</f>
        <v>0.66666666666666663</v>
      </c>
      <c r="J194" s="366" t="e">
        <f>+J193/J192</f>
        <v>#DIV/0!</v>
      </c>
      <c r="K194" s="366" t="e">
        <f>+K193/K192</f>
        <v>#DIV/0!</v>
      </c>
      <c r="L194" s="366" t="e">
        <f>+L193/L192</f>
        <v>#DIV/0!</v>
      </c>
    </row>
    <row r="195" spans="1:17" x14ac:dyDescent="0.25">
      <c r="A195" s="918" t="s">
        <v>1000</v>
      </c>
      <c r="B195" s="918"/>
      <c r="C195" s="918"/>
      <c r="D195" s="918"/>
      <c r="E195" s="918"/>
      <c r="F195" s="918"/>
      <c r="G195" s="370" t="s">
        <v>1001</v>
      </c>
      <c r="H195" s="522">
        <f>+H180+H183+H186+H189+H192</f>
        <v>384</v>
      </c>
      <c r="I195" s="522">
        <f>+I180+I183+I186+I189+I192</f>
        <v>631</v>
      </c>
      <c r="J195" s="371"/>
      <c r="K195" s="371"/>
      <c r="L195" s="371"/>
    </row>
    <row r="196" spans="1:17" x14ac:dyDescent="0.25">
      <c r="A196" s="919"/>
      <c r="B196" s="919"/>
      <c r="C196" s="919"/>
      <c r="D196" s="919"/>
      <c r="E196" s="919"/>
      <c r="F196" s="919"/>
      <c r="G196" s="370" t="s">
        <v>1002</v>
      </c>
      <c r="H196" s="522">
        <f>+H181+H184+H187+H190+H193</f>
        <v>316</v>
      </c>
      <c r="I196" s="522">
        <f>+I181+I184+I187+I190+I193</f>
        <v>530</v>
      </c>
      <c r="J196" s="371"/>
      <c r="K196" s="371"/>
      <c r="L196" s="371"/>
    </row>
    <row r="197" spans="1:17" x14ac:dyDescent="0.25">
      <c r="A197" s="919"/>
      <c r="B197" s="919"/>
      <c r="C197" s="919"/>
      <c r="D197" s="919"/>
      <c r="E197" s="919"/>
      <c r="F197" s="919"/>
      <c r="G197" s="372" t="s">
        <v>1003</v>
      </c>
      <c r="H197" s="373">
        <f>+H196/H195</f>
        <v>0.82291666666666663</v>
      </c>
      <c r="I197" s="544">
        <f>+I196/I195</f>
        <v>0.83993660855784469</v>
      </c>
      <c r="J197" s="374"/>
      <c r="K197" s="374"/>
      <c r="L197" s="374"/>
    </row>
    <row r="198" spans="1:17" x14ac:dyDescent="0.25">
      <c r="A198" s="375"/>
      <c r="B198" s="376"/>
      <c r="C198" s="217"/>
      <c r="D198" s="340"/>
      <c r="E198" s="217"/>
      <c r="F198" s="217"/>
      <c r="G198" s="376"/>
      <c r="H198" s="28"/>
      <c r="I198" s="28"/>
      <c r="J198" s="28"/>
      <c r="K198" s="28"/>
      <c r="L198" s="28"/>
    </row>
    <row r="199" spans="1:17" ht="34.5" customHeight="1" x14ac:dyDescent="0.25">
      <c r="A199" s="1088" t="s">
        <v>1004</v>
      </c>
      <c r="B199" s="1088"/>
      <c r="C199" s="1088"/>
      <c r="D199" s="1088"/>
      <c r="E199" s="377">
        <v>2016</v>
      </c>
      <c r="F199" s="377">
        <v>2017</v>
      </c>
      <c r="G199" s="377">
        <v>2018</v>
      </c>
      <c r="H199" s="377">
        <v>2019</v>
      </c>
      <c r="I199" s="377" t="s">
        <v>959</v>
      </c>
      <c r="L199" s="28"/>
    </row>
    <row r="200" spans="1:17" ht="34.5" customHeight="1" x14ac:dyDescent="0.25">
      <c r="A200" s="910" t="s">
        <v>960</v>
      </c>
      <c r="B200" s="911"/>
      <c r="C200" s="911"/>
      <c r="D200" s="420"/>
      <c r="E200" s="378">
        <f>+H214</f>
        <v>0.78125</v>
      </c>
      <c r="F200" s="378">
        <f>+I214</f>
        <v>0.59259259259259256</v>
      </c>
      <c r="G200" s="378" t="e">
        <f>+J214</f>
        <v>#DIV/0!</v>
      </c>
      <c r="H200" s="378" t="e">
        <f>+K214</f>
        <v>#DIV/0!</v>
      </c>
      <c r="I200" s="378" t="e">
        <f>+L214</f>
        <v>#DIV/0!</v>
      </c>
      <c r="J200" s="28"/>
    </row>
    <row r="201" spans="1:17" ht="34.5" customHeight="1" x14ac:dyDescent="0.25">
      <c r="A201" s="910" t="s">
        <v>961</v>
      </c>
      <c r="B201" s="911"/>
      <c r="C201" s="911"/>
      <c r="D201" s="419"/>
      <c r="E201" s="378">
        <f>+H217</f>
        <v>0.85940185630800958</v>
      </c>
      <c r="F201" s="378">
        <f>+I217</f>
        <v>1</v>
      </c>
      <c r="G201" s="378" t="e">
        <f>+J217</f>
        <v>#DIV/0!</v>
      </c>
      <c r="H201" s="378" t="e">
        <f>+K217</f>
        <v>#DIV/0!</v>
      </c>
      <c r="I201" s="378" t="e">
        <f>+L217</f>
        <v>#DIV/0!</v>
      </c>
      <c r="J201" s="28"/>
    </row>
    <row r="202" spans="1:17" ht="34.5" customHeight="1" x14ac:dyDescent="0.25">
      <c r="A202" s="910" t="s">
        <v>962</v>
      </c>
      <c r="B202" s="911"/>
      <c r="C202" s="911"/>
      <c r="D202" s="419"/>
      <c r="E202" s="378">
        <f>+H220</f>
        <v>0.39704271631982474</v>
      </c>
      <c r="F202" s="378">
        <f>+I220</f>
        <v>0.79575596816976135</v>
      </c>
      <c r="G202" s="378" t="e">
        <f>+J220</f>
        <v>#DIV/0!</v>
      </c>
      <c r="H202" s="378" t="e">
        <f>+K220</f>
        <v>#DIV/0!</v>
      </c>
      <c r="I202" s="378" t="e">
        <f>+L220</f>
        <v>#DIV/0!</v>
      </c>
      <c r="J202" s="28"/>
    </row>
    <row r="203" spans="1:17" ht="34.5" customHeight="1" x14ac:dyDescent="0.25">
      <c r="A203" s="910" t="s">
        <v>963</v>
      </c>
      <c r="B203" s="911"/>
      <c r="C203" s="911"/>
      <c r="D203" s="419"/>
      <c r="E203" s="378">
        <f>+H223</f>
        <v>0.77530957174688708</v>
      </c>
      <c r="F203" s="378">
        <f>+I223</f>
        <v>0.95946408862903887</v>
      </c>
      <c r="G203" s="378" t="e">
        <f>+J223</f>
        <v>#DIV/0!</v>
      </c>
      <c r="H203" s="378">
        <f>+K221</f>
        <v>0</v>
      </c>
      <c r="I203" s="378" t="e">
        <f>+L223</f>
        <v>#DIV/0!</v>
      </c>
      <c r="J203" s="28"/>
    </row>
    <row r="204" spans="1:17" ht="34.5" customHeight="1" x14ac:dyDescent="0.25">
      <c r="A204" s="910" t="s">
        <v>964</v>
      </c>
      <c r="B204" s="911"/>
      <c r="C204" s="911"/>
      <c r="D204" s="419"/>
      <c r="E204" s="378">
        <f>+H226</f>
        <v>1</v>
      </c>
      <c r="F204" s="378">
        <f>+I226</f>
        <v>0.66666666666666663</v>
      </c>
      <c r="G204" s="378" t="e">
        <f>+J226</f>
        <v>#DIV/0!</v>
      </c>
      <c r="H204" s="378">
        <f>+K222</f>
        <v>0</v>
      </c>
      <c r="I204" s="378" t="e">
        <f>+L226</f>
        <v>#DIV/0!</v>
      </c>
      <c r="J204" s="28"/>
    </row>
    <row r="205" spans="1:17" ht="34.5" customHeight="1" x14ac:dyDescent="0.25">
      <c r="A205" s="910" t="s">
        <v>1005</v>
      </c>
      <c r="B205" s="911"/>
      <c r="C205" s="911"/>
      <c r="D205" s="421"/>
      <c r="E205" s="378">
        <f>+H229</f>
        <v>0.76260082887494429</v>
      </c>
      <c r="F205" s="378">
        <f>+I229</f>
        <v>0.80289586321161188</v>
      </c>
      <c r="G205" s="378"/>
      <c r="H205" s="378"/>
      <c r="I205" s="378"/>
      <c r="J205" s="28"/>
    </row>
    <row r="206" spans="1:17" ht="22.5" customHeight="1" x14ac:dyDescent="0.25">
      <c r="A206" s="910" t="s">
        <v>966</v>
      </c>
      <c r="B206" s="911"/>
      <c r="C206" s="911"/>
      <c r="D206" s="419"/>
      <c r="E206" s="378">
        <v>0.8</v>
      </c>
      <c r="F206" s="378">
        <v>0.8</v>
      </c>
      <c r="G206" s="378">
        <v>0.8</v>
      </c>
      <c r="H206" s="378">
        <v>0.8</v>
      </c>
      <c r="I206" s="378">
        <v>0.8</v>
      </c>
      <c r="J206" s="28"/>
    </row>
    <row r="207" spans="1:17" x14ac:dyDescent="0.25">
      <c r="A207" s="375"/>
      <c r="B207" s="376"/>
      <c r="C207" s="217"/>
      <c r="D207" s="340"/>
      <c r="E207" s="217"/>
      <c r="F207" s="217"/>
      <c r="G207" s="376"/>
      <c r="H207" s="28"/>
      <c r="I207" s="28"/>
      <c r="J207" s="28"/>
      <c r="K207" s="28"/>
      <c r="L207" s="28"/>
    </row>
    <row r="208" spans="1:17" ht="56.25" customHeight="1" x14ac:dyDescent="0.25">
      <c r="A208" s="375"/>
      <c r="B208" s="376"/>
      <c r="C208" s="28"/>
      <c r="D208" s="340"/>
      <c r="E208" s="28"/>
      <c r="F208" s="28"/>
    </row>
    <row r="209" spans="1:12" ht="31.5" customHeight="1" x14ac:dyDescent="0.25">
      <c r="A209" s="904" t="s">
        <v>1004</v>
      </c>
      <c r="B209" s="905"/>
      <c r="C209" s="905"/>
      <c r="D209" s="905"/>
      <c r="E209" s="905"/>
      <c r="F209" s="905"/>
      <c r="G209" s="905"/>
      <c r="H209" s="905"/>
      <c r="I209" s="905"/>
      <c r="J209" s="905"/>
      <c r="K209" s="905"/>
      <c r="L209" s="905"/>
    </row>
    <row r="210" spans="1:12" ht="56.25" customHeight="1" x14ac:dyDescent="0.25">
      <c r="A210" s="906" t="s">
        <v>919</v>
      </c>
      <c r="B210" s="379"/>
      <c r="C210" s="379" t="s">
        <v>967</v>
      </c>
      <c r="D210" s="380" t="s">
        <v>968</v>
      </c>
      <c r="E210" s="379" t="s">
        <v>969</v>
      </c>
      <c r="F210" s="379" t="s">
        <v>970</v>
      </c>
      <c r="G210" s="310" t="s">
        <v>920</v>
      </c>
      <c r="H210" s="381" t="s">
        <v>921</v>
      </c>
      <c r="I210" s="350" t="s">
        <v>922</v>
      </c>
      <c r="J210" s="350" t="s">
        <v>923</v>
      </c>
      <c r="K210" s="350" t="s">
        <v>924</v>
      </c>
      <c r="L210" s="350" t="s">
        <v>959</v>
      </c>
    </row>
    <row r="211" spans="1:12" ht="27" customHeight="1" x14ac:dyDescent="0.25">
      <c r="A211" s="907"/>
      <c r="B211" s="379" t="s">
        <v>971</v>
      </c>
      <c r="C211" s="379" t="s">
        <v>972</v>
      </c>
      <c r="D211" s="380" t="s">
        <v>1174</v>
      </c>
      <c r="E211" s="379"/>
      <c r="F211" s="379"/>
      <c r="G211" s="310"/>
      <c r="H211" s="382" t="s">
        <v>926</v>
      </c>
      <c r="I211" s="353" t="s">
        <v>926</v>
      </c>
      <c r="J211" s="383" t="s">
        <v>926</v>
      </c>
      <c r="K211" s="383" t="s">
        <v>926</v>
      </c>
      <c r="L211" s="331"/>
    </row>
    <row r="212" spans="1:12" ht="24" x14ac:dyDescent="0.25">
      <c r="A212" s="899" t="s">
        <v>973</v>
      </c>
      <c r="B212" s="524" t="s">
        <v>1006</v>
      </c>
      <c r="C212" s="525">
        <v>32</v>
      </c>
      <c r="D212" s="519">
        <v>34</v>
      </c>
      <c r="E212" s="384"/>
      <c r="F212" s="384"/>
      <c r="G212" s="521" t="s">
        <v>975</v>
      </c>
      <c r="H212" s="535">
        <v>32</v>
      </c>
      <c r="I212" s="545">
        <f>+D213</f>
        <v>27</v>
      </c>
      <c r="J212" s="311"/>
      <c r="K212" s="320"/>
      <c r="L212" s="331"/>
    </row>
    <row r="213" spans="1:12" x14ac:dyDescent="0.25">
      <c r="A213" s="899"/>
      <c r="B213" s="908" t="s">
        <v>976</v>
      </c>
      <c r="C213" s="909">
        <v>32</v>
      </c>
      <c r="D213" s="898">
        <f>+INT(D212*0.8)</f>
        <v>27</v>
      </c>
      <c r="E213" s="897"/>
      <c r="F213" s="897"/>
      <c r="G213" s="521" t="s">
        <v>977</v>
      </c>
      <c r="H213" s="535">
        <v>25</v>
      </c>
      <c r="I213" s="545">
        <v>16</v>
      </c>
      <c r="J213" s="311"/>
      <c r="K213" s="320"/>
      <c r="L213" s="331"/>
    </row>
    <row r="214" spans="1:12" ht="24" x14ac:dyDescent="0.25">
      <c r="A214" s="899"/>
      <c r="B214" s="908"/>
      <c r="C214" s="909"/>
      <c r="D214" s="898"/>
      <c r="E214" s="897"/>
      <c r="F214" s="897"/>
      <c r="G214" s="367" t="s">
        <v>978</v>
      </c>
      <c r="H214" s="538">
        <f>+H213/H212</f>
        <v>0.78125</v>
      </c>
      <c r="I214" s="538">
        <f>+I213/I212</f>
        <v>0.59259259259259256</v>
      </c>
      <c r="J214" s="386" t="e">
        <f>+J213/J212</f>
        <v>#DIV/0!</v>
      </c>
      <c r="K214" s="386" t="e">
        <f>+K213/K212</f>
        <v>#DIV/0!</v>
      </c>
      <c r="L214" s="386" t="e">
        <f>+L213/L212</f>
        <v>#DIV/0!</v>
      </c>
    </row>
    <row r="215" spans="1:12" ht="26.25" customHeight="1" x14ac:dyDescent="0.25">
      <c r="A215" s="899" t="s">
        <v>979</v>
      </c>
      <c r="B215" s="387" t="s">
        <v>980</v>
      </c>
      <c r="C215" s="526">
        <v>512</v>
      </c>
      <c r="D215" s="519">
        <v>512</v>
      </c>
      <c r="E215" s="384"/>
      <c r="F215" s="384"/>
      <c r="G215" s="521" t="s">
        <v>1007</v>
      </c>
      <c r="H215" s="388">
        <f>0.8*C216/2</f>
        <v>34.908000000000001</v>
      </c>
      <c r="I215" s="546">
        <f>+D216</f>
        <v>72</v>
      </c>
      <c r="J215" s="311"/>
      <c r="K215" s="311"/>
      <c r="L215" s="331"/>
    </row>
    <row r="216" spans="1:12" ht="24" x14ac:dyDescent="0.25">
      <c r="A216" s="899"/>
      <c r="B216" s="387" t="s">
        <v>1008</v>
      </c>
      <c r="C216" s="526">
        <v>87.27</v>
      </c>
      <c r="D216" s="519">
        <v>72</v>
      </c>
      <c r="E216" s="384"/>
      <c r="F216" s="384"/>
      <c r="G216" s="521" t="s">
        <v>1009</v>
      </c>
      <c r="H216" s="362">
        <v>30</v>
      </c>
      <c r="I216" s="362">
        <v>72</v>
      </c>
      <c r="J216" s="331"/>
      <c r="K216" s="331"/>
      <c r="L216" s="331"/>
    </row>
    <row r="217" spans="1:12" ht="24" x14ac:dyDescent="0.25">
      <c r="A217" s="899"/>
      <c r="B217" s="387" t="s">
        <v>1010</v>
      </c>
      <c r="C217" s="526">
        <v>596</v>
      </c>
      <c r="D217" s="519">
        <v>516</v>
      </c>
      <c r="E217" s="384"/>
      <c r="F217" s="384"/>
      <c r="G217" s="367" t="s">
        <v>1011</v>
      </c>
      <c r="H217" s="389">
        <f>+H216/H215</f>
        <v>0.85940185630800958</v>
      </c>
      <c r="I217" s="389">
        <f>+I216/I215</f>
        <v>1</v>
      </c>
      <c r="J217" s="390" t="e">
        <f>+J216/J215</f>
        <v>#DIV/0!</v>
      </c>
      <c r="K217" s="390" t="e">
        <f>+K216/K215</f>
        <v>#DIV/0!</v>
      </c>
      <c r="L217" s="390" t="e">
        <f>+L216/L215</f>
        <v>#DIV/0!</v>
      </c>
    </row>
    <row r="218" spans="1:12" ht="24" x14ac:dyDescent="0.25">
      <c r="A218" s="899" t="s">
        <v>985</v>
      </c>
      <c r="B218" s="521" t="s">
        <v>1012</v>
      </c>
      <c r="C218" s="526">
        <v>891.5</v>
      </c>
      <c r="D218" s="519">
        <v>891.5</v>
      </c>
      <c r="E218" s="384"/>
      <c r="F218" s="384"/>
      <c r="G218" s="521" t="s">
        <v>1013</v>
      </c>
      <c r="H218" s="362">
        <f>+C219*0.8</f>
        <v>7.3039999999999997E-3</v>
      </c>
      <c r="I218" s="522">
        <f>+D219</f>
        <v>2.639E-2</v>
      </c>
      <c r="J218" s="331"/>
      <c r="K218" s="331"/>
      <c r="L218" s="331"/>
    </row>
    <row r="219" spans="1:12" ht="33.75" customHeight="1" x14ac:dyDescent="0.25">
      <c r="A219" s="899"/>
      <c r="B219" s="521" t="s">
        <v>1175</v>
      </c>
      <c r="C219" s="526">
        <v>9.1299999999999992E-3</v>
      </c>
      <c r="D219" s="519">
        <v>2.639E-2</v>
      </c>
      <c r="E219" s="384"/>
      <c r="F219" s="384"/>
      <c r="G219" s="521" t="s">
        <v>1015</v>
      </c>
      <c r="H219" s="362">
        <v>2.8999999999999998E-3</v>
      </c>
      <c r="I219" s="522">
        <v>2.1000000000000001E-2</v>
      </c>
      <c r="J219" s="331"/>
      <c r="K219" s="331"/>
      <c r="L219" s="331"/>
    </row>
    <row r="220" spans="1:12" ht="24" x14ac:dyDescent="0.25">
      <c r="A220" s="899"/>
      <c r="B220" s="521" t="s">
        <v>1016</v>
      </c>
      <c r="C220" s="526">
        <v>891.5</v>
      </c>
      <c r="D220" s="519">
        <v>891.5</v>
      </c>
      <c r="E220" s="384"/>
      <c r="F220" s="384"/>
      <c r="G220" s="367" t="s">
        <v>1017</v>
      </c>
      <c r="H220" s="389">
        <f>+H219/H218</f>
        <v>0.39704271631982474</v>
      </c>
      <c r="I220" s="389">
        <f>+I219/I218</f>
        <v>0.79575596816976135</v>
      </c>
      <c r="J220" s="390" t="e">
        <f>+J219/J218</f>
        <v>#DIV/0!</v>
      </c>
      <c r="K220" s="390" t="e">
        <f>+K219/K218</f>
        <v>#DIV/0!</v>
      </c>
      <c r="L220" s="390" t="e">
        <f>+L219/L218</f>
        <v>#DIV/0!</v>
      </c>
    </row>
    <row r="221" spans="1:12" ht="36" x14ac:dyDescent="0.25">
      <c r="A221" s="899" t="s">
        <v>943</v>
      </c>
      <c r="B221" s="370" t="s">
        <v>1176</v>
      </c>
      <c r="C221" s="526">
        <v>74</v>
      </c>
      <c r="D221" s="519">
        <v>45393.7</v>
      </c>
      <c r="E221" s="384"/>
      <c r="F221" s="384"/>
      <c r="G221" s="521" t="s">
        <v>1018</v>
      </c>
      <c r="H221" s="391">
        <f>0.8*C222</f>
        <v>57940.688000000002</v>
      </c>
      <c r="I221" s="547">
        <f>+D222</f>
        <v>36314.959999999999</v>
      </c>
      <c r="J221" s="331"/>
      <c r="K221" s="331"/>
      <c r="L221" s="331"/>
    </row>
    <row r="222" spans="1:12" ht="24" x14ac:dyDescent="0.25">
      <c r="A222" s="899"/>
      <c r="B222" s="1085" t="s">
        <v>1149</v>
      </c>
      <c r="C222" s="897">
        <v>72425.86</v>
      </c>
      <c r="D222" s="1086">
        <f>+D221*0.8</f>
        <v>36314.959999999999</v>
      </c>
      <c r="E222" s="897"/>
      <c r="F222" s="897"/>
      <c r="G222" s="521" t="s">
        <v>1019</v>
      </c>
      <c r="H222" s="392">
        <v>44921.97</v>
      </c>
      <c r="I222" s="547">
        <v>34842.9</v>
      </c>
      <c r="J222" s="331"/>
      <c r="K222" s="331"/>
      <c r="L222" s="331"/>
    </row>
    <row r="223" spans="1:12" ht="24" x14ac:dyDescent="0.25">
      <c r="A223" s="899"/>
      <c r="B223" s="1085"/>
      <c r="C223" s="897"/>
      <c r="D223" s="1086"/>
      <c r="E223" s="897"/>
      <c r="F223" s="897"/>
      <c r="G223" s="367" t="s">
        <v>1020</v>
      </c>
      <c r="H223" s="393">
        <f>+H222/H221</f>
        <v>0.77530957174688708</v>
      </c>
      <c r="I223" s="393">
        <f>+I222/I221</f>
        <v>0.95946408862903887</v>
      </c>
      <c r="J223" s="369" t="e">
        <f>+J222/J221</f>
        <v>#DIV/0!</v>
      </c>
      <c r="K223" s="369" t="e">
        <f>+K222/K221</f>
        <v>#DIV/0!</v>
      </c>
      <c r="L223" s="369" t="e">
        <f>+L222/L221</f>
        <v>#DIV/0!</v>
      </c>
    </row>
    <row r="224" spans="1:12" ht="24" x14ac:dyDescent="0.25">
      <c r="A224" s="895" t="s">
        <v>995</v>
      </c>
      <c r="B224" s="521" t="s">
        <v>1021</v>
      </c>
      <c r="C224" s="526">
        <v>2</v>
      </c>
      <c r="D224" s="519">
        <v>4</v>
      </c>
      <c r="E224" s="384"/>
      <c r="F224" s="384"/>
      <c r="G224" s="521" t="s">
        <v>997</v>
      </c>
      <c r="H224" s="522">
        <f>+C225</f>
        <v>2</v>
      </c>
      <c r="I224" s="522">
        <f>+D225</f>
        <v>3</v>
      </c>
      <c r="J224" s="331"/>
      <c r="K224" s="331"/>
      <c r="L224" s="331"/>
    </row>
    <row r="225" spans="1:15" ht="24" x14ac:dyDescent="0.25">
      <c r="A225" s="895"/>
      <c r="B225" s="896" t="s">
        <v>1022</v>
      </c>
      <c r="C225" s="897">
        <v>2</v>
      </c>
      <c r="D225" s="898">
        <f>+INT(D224*0.8)</f>
        <v>3</v>
      </c>
      <c r="E225" s="897"/>
      <c r="F225" s="897"/>
      <c r="G225" s="521" t="s">
        <v>999</v>
      </c>
      <c r="H225" s="522">
        <v>2</v>
      </c>
      <c r="I225" s="522">
        <v>2</v>
      </c>
      <c r="J225" s="331"/>
      <c r="K225" s="331"/>
      <c r="L225" s="331"/>
    </row>
    <row r="226" spans="1:15" ht="24" x14ac:dyDescent="0.25">
      <c r="A226" s="895"/>
      <c r="B226" s="896"/>
      <c r="C226" s="897"/>
      <c r="D226" s="898"/>
      <c r="E226" s="897"/>
      <c r="F226" s="897"/>
      <c r="G226" s="367" t="s">
        <v>964</v>
      </c>
      <c r="H226" s="394">
        <f>+H225/H224</f>
        <v>1</v>
      </c>
      <c r="I226" s="394">
        <f>+I225/I224</f>
        <v>0.66666666666666663</v>
      </c>
      <c r="J226" s="395" t="e">
        <f>+J225/J224</f>
        <v>#DIV/0!</v>
      </c>
      <c r="K226" s="395" t="e">
        <f>+K225/K224</f>
        <v>#DIV/0!</v>
      </c>
      <c r="L226" s="395" t="e">
        <f>+L225/L224</f>
        <v>#DIV/0!</v>
      </c>
    </row>
    <row r="227" spans="1:15" x14ac:dyDescent="0.25">
      <c r="A227" s="903" t="s">
        <v>1000</v>
      </c>
      <c r="B227" s="903"/>
      <c r="C227" s="903"/>
      <c r="D227" s="903"/>
      <c r="E227" s="903"/>
      <c r="F227" s="903"/>
      <c r="G227" s="370" t="s">
        <v>1001</v>
      </c>
      <c r="H227" s="396"/>
      <c r="I227" s="397"/>
      <c r="J227" s="397"/>
      <c r="K227" s="397"/>
      <c r="L227" s="397"/>
    </row>
    <row r="228" spans="1:15" x14ac:dyDescent="0.25">
      <c r="A228" s="903"/>
      <c r="B228" s="903"/>
      <c r="C228" s="903"/>
      <c r="D228" s="903"/>
      <c r="E228" s="903"/>
      <c r="F228" s="903"/>
      <c r="G228" s="370" t="s">
        <v>1002</v>
      </c>
      <c r="H228" s="396"/>
      <c r="I228" s="397"/>
      <c r="J228" s="397"/>
      <c r="K228" s="397"/>
      <c r="L228" s="331"/>
    </row>
    <row r="229" spans="1:15" x14ac:dyDescent="0.25">
      <c r="A229" s="903"/>
      <c r="B229" s="903"/>
      <c r="C229" s="903"/>
      <c r="D229" s="903"/>
      <c r="E229" s="903"/>
      <c r="F229" s="903"/>
      <c r="G229" s="398" t="s">
        <v>1003</v>
      </c>
      <c r="H229" s="548">
        <f>AVERAGE(H226,H223,H220,H217,H214)</f>
        <v>0.76260082887494429</v>
      </c>
      <c r="I229" s="548">
        <f>AVERAGE(I226,I223,I220,I217,I214)</f>
        <v>0.80289586321161188</v>
      </c>
      <c r="J229" s="395"/>
      <c r="K229" s="395"/>
      <c r="L229" s="395"/>
    </row>
    <row r="230" spans="1:15" ht="42" customHeight="1" x14ac:dyDescent="0.25">
      <c r="A230" s="375"/>
      <c r="B230" s="339"/>
      <c r="C230" s="399"/>
      <c r="D230" s="517"/>
      <c r="E230" s="399"/>
      <c r="F230" s="399"/>
      <c r="G230" s="339"/>
      <c r="H230" s="28"/>
      <c r="I230" s="28"/>
      <c r="J230" s="28"/>
      <c r="K230" s="28"/>
    </row>
    <row r="231" spans="1:15" ht="35.25" customHeight="1" x14ac:dyDescent="0.25">
      <c r="A231" s="885" t="s">
        <v>909</v>
      </c>
      <c r="B231" s="885"/>
      <c r="C231" s="885"/>
      <c r="D231" s="885"/>
      <c r="E231" s="885"/>
      <c r="F231" s="885"/>
      <c r="G231" s="885"/>
      <c r="H231" s="885"/>
      <c r="I231" s="885"/>
      <c r="J231" s="885"/>
      <c r="K231" s="885"/>
      <c r="L231" s="885"/>
      <c r="M231" s="885"/>
      <c r="N231" s="885"/>
      <c r="O231" s="885"/>
    </row>
    <row r="232" spans="1:15" ht="42" customHeight="1" x14ac:dyDescent="0.25">
      <c r="A232" s="887" t="s">
        <v>1177</v>
      </c>
      <c r="B232" s="887"/>
      <c r="C232" s="400" t="s">
        <v>921</v>
      </c>
      <c r="D232" s="401" t="s">
        <v>922</v>
      </c>
      <c r="E232" s="400" t="s">
        <v>923</v>
      </c>
      <c r="F232" s="400" t="s">
        <v>924</v>
      </c>
      <c r="G232" s="400" t="s">
        <v>959</v>
      </c>
      <c r="I232" s="28"/>
      <c r="J232" s="28"/>
      <c r="K232" s="28"/>
    </row>
    <row r="233" spans="1:15" ht="14.25" customHeight="1" x14ac:dyDescent="0.25">
      <c r="A233" s="892" t="s">
        <v>1024</v>
      </c>
      <c r="B233" s="311" t="s">
        <v>929</v>
      </c>
      <c r="C233" s="402">
        <f>33+9</f>
        <v>42</v>
      </c>
      <c r="D233" s="403">
        <v>14</v>
      </c>
      <c r="E233" s="404"/>
      <c r="F233" s="404"/>
      <c r="G233" s="405"/>
      <c r="I233" s="28"/>
      <c r="J233" s="28"/>
      <c r="K233" s="28"/>
    </row>
    <row r="234" spans="1:15" x14ac:dyDescent="0.25">
      <c r="A234" s="893"/>
      <c r="B234" s="311" t="s">
        <v>930</v>
      </c>
      <c r="C234" s="402">
        <v>41</v>
      </c>
      <c r="D234" s="403">
        <v>23</v>
      </c>
      <c r="E234" s="404"/>
      <c r="F234" s="404"/>
      <c r="G234" s="405"/>
      <c r="I234" s="28"/>
      <c r="J234" s="28"/>
      <c r="K234" s="28"/>
    </row>
    <row r="235" spans="1:15" x14ac:dyDescent="0.25">
      <c r="A235" s="893"/>
      <c r="B235" s="311" t="s">
        <v>931</v>
      </c>
      <c r="C235" s="402">
        <v>37</v>
      </c>
      <c r="D235" s="403">
        <v>9</v>
      </c>
      <c r="E235" s="404"/>
      <c r="F235" s="404"/>
      <c r="G235" s="405"/>
      <c r="I235" s="28"/>
      <c r="J235" s="28"/>
      <c r="K235" s="28"/>
    </row>
    <row r="236" spans="1:15" x14ac:dyDescent="0.25">
      <c r="A236" s="893"/>
      <c r="B236" s="311" t="s">
        <v>932</v>
      </c>
      <c r="C236" s="402">
        <v>14</v>
      </c>
      <c r="D236" s="403">
        <v>20</v>
      </c>
      <c r="E236" s="404"/>
      <c r="F236" s="404"/>
      <c r="G236" s="405"/>
      <c r="I236" s="28"/>
      <c r="J236" s="28"/>
      <c r="K236" s="28"/>
    </row>
    <row r="237" spans="1:15" x14ac:dyDescent="0.25">
      <c r="A237" s="894"/>
      <c r="B237" s="329" t="s">
        <v>81</v>
      </c>
      <c r="C237" s="406">
        <f>SUM(C233:C236)</f>
        <v>134</v>
      </c>
      <c r="D237" s="407">
        <f>SUM(D233:D236)</f>
        <v>66</v>
      </c>
      <c r="E237" s="408">
        <f>SUM(E233:E236)</f>
        <v>0</v>
      </c>
      <c r="F237" s="408">
        <f>SUM(F233:F236)</f>
        <v>0</v>
      </c>
      <c r="G237" s="408">
        <f>SUM(G233:G236)</f>
        <v>0</v>
      </c>
      <c r="H237" s="28"/>
      <c r="I237" s="28"/>
      <c r="J237" s="28"/>
      <c r="K237" s="28"/>
    </row>
    <row r="238" spans="1:15" x14ac:dyDescent="0.25">
      <c r="A238" s="886" t="s">
        <v>1025</v>
      </c>
      <c r="B238" s="311" t="s">
        <v>929</v>
      </c>
      <c r="C238" s="409">
        <v>3</v>
      </c>
      <c r="D238" s="519">
        <v>13</v>
      </c>
      <c r="E238" s="526"/>
      <c r="F238" s="526"/>
      <c r="G238" s="521"/>
      <c r="H238" s="28"/>
      <c r="I238" s="28"/>
      <c r="J238" s="28"/>
      <c r="K238" s="28"/>
    </row>
    <row r="239" spans="1:15" x14ac:dyDescent="0.25">
      <c r="A239" s="886"/>
      <c r="B239" s="311" t="s">
        <v>930</v>
      </c>
      <c r="C239" s="409">
        <v>6</v>
      </c>
      <c r="D239" s="519">
        <v>20</v>
      </c>
      <c r="E239" s="526"/>
      <c r="F239" s="526"/>
      <c r="G239" s="521"/>
      <c r="H239" s="28"/>
      <c r="I239" s="28"/>
      <c r="J239" s="28"/>
      <c r="K239" s="28"/>
    </row>
    <row r="240" spans="1:15" x14ac:dyDescent="0.25">
      <c r="A240" s="886"/>
      <c r="B240" s="311" t="s">
        <v>931</v>
      </c>
      <c r="C240" s="409">
        <v>22</v>
      </c>
      <c r="D240" s="519">
        <v>16</v>
      </c>
      <c r="E240" s="526"/>
      <c r="F240" s="526"/>
      <c r="G240" s="521"/>
      <c r="H240" s="28"/>
      <c r="I240" s="28"/>
      <c r="J240" s="28"/>
      <c r="K240" s="28"/>
    </row>
    <row r="241" spans="1:15" x14ac:dyDescent="0.25">
      <c r="A241" s="886"/>
      <c r="B241" s="311" t="s">
        <v>932</v>
      </c>
      <c r="C241" s="402">
        <v>12</v>
      </c>
      <c r="D241" s="519">
        <v>14</v>
      </c>
      <c r="E241" s="404"/>
      <c r="F241" s="404"/>
      <c r="G241" s="405"/>
      <c r="H241" s="28"/>
      <c r="I241" s="28"/>
      <c r="J241" s="28"/>
      <c r="K241" s="28"/>
    </row>
    <row r="242" spans="1:15" x14ac:dyDescent="0.25">
      <c r="A242" s="886"/>
      <c r="B242" s="329" t="s">
        <v>81</v>
      </c>
      <c r="C242" s="406">
        <f>SUM(C238:C241)</f>
        <v>43</v>
      </c>
      <c r="D242" s="407">
        <f>SUM(D238:D241)</f>
        <v>63</v>
      </c>
      <c r="E242" s="408">
        <f>SUM(E238:E241)</f>
        <v>0</v>
      </c>
      <c r="F242" s="408">
        <f>SUM(F238:F241)</f>
        <v>0</v>
      </c>
      <c r="G242" s="408">
        <f>SUM(G238:G241)</f>
        <v>0</v>
      </c>
      <c r="H242" s="28"/>
      <c r="I242" s="28"/>
      <c r="J242" s="28"/>
      <c r="K242" s="28"/>
    </row>
    <row r="243" spans="1:15" x14ac:dyDescent="0.25">
      <c r="A243" s="886" t="s">
        <v>1026</v>
      </c>
      <c r="B243" s="311" t="s">
        <v>929</v>
      </c>
      <c r="C243" s="409">
        <v>0</v>
      </c>
      <c r="D243" s="519">
        <v>0</v>
      </c>
      <c r="E243" s="526"/>
      <c r="F243" s="526"/>
      <c r="G243" s="521"/>
      <c r="H243" s="28"/>
      <c r="I243" s="28"/>
      <c r="J243" s="28"/>
      <c r="K243" s="28"/>
    </row>
    <row r="244" spans="1:15" x14ac:dyDescent="0.25">
      <c r="A244" s="886"/>
      <c r="B244" s="311" t="s">
        <v>930</v>
      </c>
      <c r="C244" s="409">
        <v>0</v>
      </c>
      <c r="D244" s="519">
        <v>2</v>
      </c>
      <c r="E244" s="526"/>
      <c r="F244" s="526"/>
      <c r="G244" s="521"/>
      <c r="H244" s="28"/>
      <c r="I244" s="28"/>
      <c r="J244" s="28"/>
      <c r="K244" s="28"/>
    </row>
    <row r="245" spans="1:15" x14ac:dyDescent="0.25">
      <c r="A245" s="886"/>
      <c r="B245" s="311" t="s">
        <v>931</v>
      </c>
      <c r="C245" s="409">
        <v>0</v>
      </c>
      <c r="D245" s="519">
        <v>0</v>
      </c>
      <c r="E245" s="526"/>
      <c r="F245" s="526"/>
      <c r="G245" s="521"/>
      <c r="H245" s="28"/>
      <c r="I245" s="28"/>
      <c r="J245" s="28"/>
      <c r="K245" s="28"/>
    </row>
    <row r="246" spans="1:15" x14ac:dyDescent="0.25">
      <c r="A246" s="886"/>
      <c r="B246" s="311" t="s">
        <v>932</v>
      </c>
      <c r="C246" s="402">
        <v>0</v>
      </c>
      <c r="D246" s="403">
        <v>0</v>
      </c>
      <c r="E246" s="404"/>
      <c r="F246" s="404"/>
      <c r="G246" s="405"/>
      <c r="H246" s="28"/>
      <c r="I246" s="28"/>
      <c r="J246" s="28"/>
      <c r="K246" s="28"/>
    </row>
    <row r="247" spans="1:15" x14ac:dyDescent="0.25">
      <c r="A247" s="886"/>
      <c r="B247" s="329" t="s">
        <v>81</v>
      </c>
      <c r="C247" s="406">
        <f>SUM(C243:C246)</f>
        <v>0</v>
      </c>
      <c r="D247" s="407">
        <f>SUM(D243:D246)</f>
        <v>2</v>
      </c>
      <c r="E247" s="408">
        <f>SUM(E243:E246)</f>
        <v>0</v>
      </c>
      <c r="F247" s="408">
        <f>SUM(F243:F246)</f>
        <v>0</v>
      </c>
      <c r="G247" s="408">
        <f>SUM(G243:G246)</f>
        <v>0</v>
      </c>
      <c r="H247" s="28"/>
      <c r="I247" s="28"/>
      <c r="J247" s="28"/>
      <c r="K247" s="28"/>
    </row>
    <row r="248" spans="1:15" x14ac:dyDescent="0.25">
      <c r="A248" s="886" t="s">
        <v>1027</v>
      </c>
      <c r="B248" s="311" t="s">
        <v>929</v>
      </c>
      <c r="C248" s="410">
        <f>+(C238+C243)/C233</f>
        <v>7.1428571428571425E-2</v>
      </c>
      <c r="D248" s="410">
        <f>+(D238+D243)/D233</f>
        <v>0.9285714285714286</v>
      </c>
      <c r="E248" s="526"/>
      <c r="F248" s="526"/>
      <c r="G248" s="521"/>
      <c r="H248" s="28"/>
      <c r="I248" s="28"/>
      <c r="J248" s="28"/>
      <c r="K248" s="28"/>
    </row>
    <row r="249" spans="1:15" x14ac:dyDescent="0.25">
      <c r="A249" s="886"/>
      <c r="B249" s="311" t="s">
        <v>930</v>
      </c>
      <c r="C249" s="410">
        <f>(C239+C244)/C234</f>
        <v>0.14634146341463414</v>
      </c>
      <c r="D249" s="410">
        <f>+(D239+D244)/D234</f>
        <v>0.95652173913043481</v>
      </c>
      <c r="E249" s="526"/>
      <c r="F249" s="526"/>
      <c r="G249" s="521"/>
      <c r="H249" s="28"/>
      <c r="I249" s="28"/>
      <c r="J249" s="28"/>
      <c r="K249" s="28"/>
    </row>
    <row r="250" spans="1:15" x14ac:dyDescent="0.25">
      <c r="A250" s="886"/>
      <c r="B250" s="311" t="s">
        <v>931</v>
      </c>
      <c r="C250" s="410">
        <f>+(C240+C245)/C235</f>
        <v>0.59459459459459463</v>
      </c>
      <c r="D250" s="410">
        <f>+(D240+D245)/D235</f>
        <v>1.7777777777777777</v>
      </c>
      <c r="E250" s="526"/>
      <c r="F250" s="526"/>
      <c r="G250" s="521"/>
      <c r="H250" s="28"/>
      <c r="I250" s="28"/>
      <c r="J250" s="28"/>
      <c r="K250" s="28"/>
    </row>
    <row r="251" spans="1:15" x14ac:dyDescent="0.25">
      <c r="A251" s="886"/>
      <c r="B251" s="311" t="s">
        <v>932</v>
      </c>
      <c r="C251" s="410">
        <f>+(C241+C246)/C236</f>
        <v>0.8571428571428571</v>
      </c>
      <c r="D251" s="410">
        <f>+(D241+D246)/D236</f>
        <v>0.7</v>
      </c>
      <c r="E251" s="404"/>
      <c r="F251" s="404"/>
      <c r="G251" s="405"/>
      <c r="H251" s="28"/>
      <c r="I251" s="28"/>
      <c r="J251" s="28"/>
      <c r="K251" s="28"/>
    </row>
    <row r="252" spans="1:15" x14ac:dyDescent="0.25">
      <c r="A252" s="886"/>
      <c r="B252" s="329" t="s">
        <v>81</v>
      </c>
      <c r="C252" s="411">
        <f>(C242+C247)/C237</f>
        <v>0.32089552238805968</v>
      </c>
      <c r="D252" s="411">
        <f>(D242+D247)/D237</f>
        <v>0.98484848484848486</v>
      </c>
      <c r="E252" s="408">
        <f>SUM(E248:E251)</f>
        <v>0</v>
      </c>
      <c r="F252" s="408">
        <f>SUM(F248:F251)</f>
        <v>0</v>
      </c>
      <c r="G252" s="408">
        <f>SUM(G248:G251)</f>
        <v>0</v>
      </c>
      <c r="H252" s="28"/>
      <c r="I252" s="28"/>
      <c r="J252" s="28"/>
      <c r="K252" s="28"/>
    </row>
    <row r="253" spans="1:15" x14ac:dyDescent="0.25">
      <c r="A253" s="412"/>
      <c r="B253" s="28"/>
      <c r="C253" s="399"/>
      <c r="D253" s="517"/>
      <c r="E253" s="399"/>
      <c r="F253" s="399"/>
      <c r="G253" s="399"/>
      <c r="H253" s="28"/>
      <c r="I253" s="28"/>
      <c r="J253" s="28"/>
      <c r="K253" s="28"/>
    </row>
    <row r="254" spans="1:15" ht="35.25" customHeight="1" x14ac:dyDescent="0.25">
      <c r="A254" s="885" t="s">
        <v>1028</v>
      </c>
      <c r="B254" s="885"/>
      <c r="C254" s="885"/>
      <c r="D254" s="885"/>
      <c r="E254" s="885"/>
      <c r="F254" s="885"/>
      <c r="G254" s="885"/>
      <c r="H254" s="885"/>
      <c r="I254" s="885"/>
      <c r="J254" s="885"/>
      <c r="K254" s="885"/>
      <c r="L254" s="885"/>
      <c r="M254" s="885"/>
      <c r="N254" s="885"/>
      <c r="O254" s="885"/>
    </row>
    <row r="255" spans="1:15" x14ac:dyDescent="0.25">
      <c r="A255" s="412"/>
      <c r="B255" s="28"/>
      <c r="C255" s="399"/>
      <c r="D255" s="517"/>
      <c r="E255" s="399"/>
      <c r="F255" s="399"/>
      <c r="G255" s="399"/>
      <c r="H255" s="28"/>
      <c r="I255" s="28"/>
      <c r="J255" s="28"/>
      <c r="K255" s="28"/>
    </row>
    <row r="256" spans="1:15" ht="27.75" customHeight="1" x14ac:dyDescent="0.25">
      <c r="A256" s="887" t="s">
        <v>1178</v>
      </c>
      <c r="B256" s="887"/>
      <c r="C256" s="400" t="s">
        <v>921</v>
      </c>
      <c r="D256" s="401" t="s">
        <v>922</v>
      </c>
      <c r="E256" s="400" t="s">
        <v>923</v>
      </c>
      <c r="F256" s="400" t="s">
        <v>924</v>
      </c>
      <c r="G256" s="400" t="s">
        <v>959</v>
      </c>
      <c r="H256" s="28"/>
      <c r="I256" s="28"/>
      <c r="J256" s="28"/>
      <c r="K256" s="28"/>
    </row>
    <row r="257" spans="1:11" ht="14" x14ac:dyDescent="0.3">
      <c r="A257" s="1082" t="s">
        <v>1030</v>
      </c>
      <c r="B257" s="413" t="s">
        <v>929</v>
      </c>
      <c r="C257" s="404">
        <v>354</v>
      </c>
      <c r="D257" s="403">
        <v>444</v>
      </c>
      <c r="E257" s="404"/>
      <c r="F257" s="404"/>
      <c r="G257" s="405"/>
      <c r="H257" s="28"/>
      <c r="I257" s="28"/>
      <c r="J257" s="28"/>
      <c r="K257" s="28"/>
    </row>
    <row r="258" spans="1:11" ht="14" x14ac:dyDescent="0.3">
      <c r="A258" s="1083"/>
      <c r="B258" s="413" t="s">
        <v>930</v>
      </c>
      <c r="C258" s="404">
        <f>540-C257</f>
        <v>186</v>
      </c>
      <c r="D258" s="403">
        <v>516</v>
      </c>
      <c r="E258" s="404"/>
      <c r="F258" s="404"/>
      <c r="G258" s="405"/>
      <c r="H258" s="28"/>
      <c r="I258" s="28"/>
      <c r="J258" s="28"/>
      <c r="K258" s="28"/>
    </row>
    <row r="259" spans="1:11" ht="14" x14ac:dyDescent="0.3">
      <c r="A259" s="1083"/>
      <c r="B259" s="413" t="s">
        <v>931</v>
      </c>
      <c r="C259" s="414">
        <f>742-540</f>
        <v>202</v>
      </c>
      <c r="D259" s="403">
        <v>289</v>
      </c>
      <c r="E259" s="404"/>
      <c r="F259" s="404"/>
      <c r="G259" s="405"/>
      <c r="H259" s="28"/>
      <c r="I259" s="28"/>
      <c r="J259" s="28"/>
      <c r="K259" s="28"/>
    </row>
    <row r="260" spans="1:11" ht="14" x14ac:dyDescent="0.3">
      <c r="A260" s="1083"/>
      <c r="B260" s="413" t="s">
        <v>932</v>
      </c>
      <c r="C260" s="404">
        <f>836-742</f>
        <v>94</v>
      </c>
      <c r="D260" s="403">
        <v>190</v>
      </c>
      <c r="E260" s="404"/>
      <c r="F260" s="404"/>
      <c r="G260" s="405"/>
      <c r="H260" s="28"/>
      <c r="I260" s="28"/>
      <c r="J260" s="28"/>
      <c r="K260" s="28"/>
    </row>
    <row r="261" spans="1:11" ht="14" x14ac:dyDescent="0.3">
      <c r="A261" s="1084"/>
      <c r="B261" s="415" t="s">
        <v>81</v>
      </c>
      <c r="C261" s="416">
        <f>SUM(C257:C260)</f>
        <v>836</v>
      </c>
      <c r="D261" s="407">
        <f>SUM(D257:D260)</f>
        <v>1439</v>
      </c>
      <c r="E261" s="408">
        <f>SUM(E257:E260)</f>
        <v>0</v>
      </c>
      <c r="F261" s="408">
        <f>SUM(F257:F260)</f>
        <v>0</v>
      </c>
      <c r="G261" s="408">
        <f>SUM(G257:G260)</f>
        <v>0</v>
      </c>
      <c r="H261" s="28"/>
      <c r="I261" s="28"/>
      <c r="J261" s="28"/>
      <c r="K261" s="28"/>
    </row>
    <row r="262" spans="1:11" ht="14" x14ac:dyDescent="0.3">
      <c r="A262" s="908" t="s">
        <v>1031</v>
      </c>
      <c r="B262" s="413" t="s">
        <v>929</v>
      </c>
      <c r="C262" s="526">
        <f>354-30</f>
        <v>324</v>
      </c>
      <c r="D262" s="519">
        <v>414</v>
      </c>
      <c r="E262" s="526"/>
      <c r="F262" s="526"/>
      <c r="G262" s="521"/>
      <c r="H262" s="28"/>
      <c r="I262" s="28"/>
      <c r="J262" s="28"/>
      <c r="K262" s="28"/>
    </row>
    <row r="263" spans="1:11" ht="14" x14ac:dyDescent="0.3">
      <c r="A263" s="908"/>
      <c r="B263" s="413" t="s">
        <v>930</v>
      </c>
      <c r="C263" s="526">
        <f>186-35</f>
        <v>151</v>
      </c>
      <c r="D263" s="519">
        <v>473</v>
      </c>
      <c r="E263" s="526"/>
      <c r="F263" s="526"/>
      <c r="G263" s="521"/>
      <c r="H263" s="28"/>
      <c r="I263" s="28"/>
      <c r="J263" s="28"/>
      <c r="K263" s="28"/>
    </row>
    <row r="264" spans="1:11" ht="14" x14ac:dyDescent="0.3">
      <c r="A264" s="908"/>
      <c r="B264" s="413" t="s">
        <v>931</v>
      </c>
      <c r="C264" s="526">
        <f>692-475</f>
        <v>217</v>
      </c>
      <c r="D264" s="519">
        <v>267</v>
      </c>
      <c r="E264" s="526"/>
      <c r="F264" s="526"/>
      <c r="G264" s="521"/>
      <c r="H264" s="28"/>
      <c r="I264" s="28"/>
      <c r="J264" s="28"/>
      <c r="K264" s="28"/>
    </row>
    <row r="265" spans="1:11" ht="14" x14ac:dyDescent="0.3">
      <c r="A265" s="908"/>
      <c r="B265" s="413" t="s">
        <v>932</v>
      </c>
      <c r="C265" s="404">
        <f>774-692</f>
        <v>82</v>
      </c>
      <c r="D265" s="403">
        <v>170</v>
      </c>
      <c r="E265" s="404"/>
      <c r="F265" s="404"/>
      <c r="G265" s="405"/>
      <c r="H265" s="28"/>
      <c r="I265" s="28"/>
      <c r="J265" s="28"/>
      <c r="K265" s="28"/>
    </row>
    <row r="266" spans="1:11" ht="14" x14ac:dyDescent="0.3">
      <c r="A266" s="908"/>
      <c r="B266" s="415" t="s">
        <v>81</v>
      </c>
      <c r="C266" s="416">
        <f>SUM(C262:C265)</f>
        <v>774</v>
      </c>
      <c r="D266" s="407">
        <f>SUM(D262:D265)</f>
        <v>1324</v>
      </c>
      <c r="E266" s="408">
        <f>SUM(E262:E265)</f>
        <v>0</v>
      </c>
      <c r="F266" s="408">
        <f>SUM(F262:F265)</f>
        <v>0</v>
      </c>
      <c r="G266" s="408">
        <f>SUM(G262:G265)</f>
        <v>0</v>
      </c>
      <c r="H266" s="28"/>
      <c r="I266" s="28"/>
      <c r="J266" s="28"/>
      <c r="K266" s="28"/>
    </row>
    <row r="267" spans="1:11" ht="14" x14ac:dyDescent="0.3">
      <c r="A267" s="908" t="s">
        <v>1032</v>
      </c>
      <c r="B267" s="413" t="s">
        <v>929</v>
      </c>
      <c r="C267" s="417">
        <f>+C262/C257</f>
        <v>0.9152542372881356</v>
      </c>
      <c r="D267" s="417">
        <f>+D262/D257</f>
        <v>0.93243243243243246</v>
      </c>
      <c r="E267" s="526"/>
      <c r="F267" s="526" t="e">
        <f>+F262/F257</f>
        <v>#DIV/0!</v>
      </c>
      <c r="G267" s="526" t="e">
        <f>+G262/G257</f>
        <v>#DIV/0!</v>
      </c>
      <c r="H267" s="28"/>
      <c r="I267" s="28"/>
      <c r="J267" s="28"/>
      <c r="K267" s="28"/>
    </row>
    <row r="268" spans="1:11" ht="14" x14ac:dyDescent="0.3">
      <c r="A268" s="908"/>
      <c r="B268" s="413" t="s">
        <v>930</v>
      </c>
      <c r="C268" s="417">
        <f t="shared" ref="C268:G270" si="6">+C263/C258</f>
        <v>0.81182795698924726</v>
      </c>
      <c r="D268" s="417">
        <f t="shared" si="6"/>
        <v>0.91666666666666663</v>
      </c>
      <c r="E268" s="526"/>
      <c r="F268" s="526" t="e">
        <f t="shared" si="6"/>
        <v>#DIV/0!</v>
      </c>
      <c r="G268" s="526" t="e">
        <f t="shared" si="6"/>
        <v>#DIV/0!</v>
      </c>
      <c r="H268" s="28"/>
      <c r="I268" s="28"/>
      <c r="J268" s="28"/>
      <c r="K268" s="28"/>
    </row>
    <row r="269" spans="1:11" ht="21.75" customHeight="1" x14ac:dyDescent="0.3">
      <c r="A269" s="908"/>
      <c r="B269" s="413" t="s">
        <v>931</v>
      </c>
      <c r="C269" s="417">
        <f t="shared" si="6"/>
        <v>1.0742574257425743</v>
      </c>
      <c r="D269" s="417">
        <f t="shared" si="6"/>
        <v>0.92387543252595161</v>
      </c>
      <c r="E269" s="526"/>
      <c r="F269" s="526" t="e">
        <f t="shared" si="6"/>
        <v>#DIV/0!</v>
      </c>
      <c r="G269" s="526" t="e">
        <f t="shared" si="6"/>
        <v>#DIV/0!</v>
      </c>
      <c r="H269" s="28"/>
      <c r="I269" s="28"/>
      <c r="J269" s="28"/>
      <c r="K269" s="28"/>
    </row>
    <row r="270" spans="1:11" ht="14" x14ac:dyDescent="0.3">
      <c r="A270" s="908"/>
      <c r="B270" s="413" t="s">
        <v>932</v>
      </c>
      <c r="C270" s="417">
        <f>+C265/C260</f>
        <v>0.87234042553191493</v>
      </c>
      <c r="D270" s="417">
        <f t="shared" si="6"/>
        <v>0.89473684210526316</v>
      </c>
      <c r="E270" s="526"/>
      <c r="F270" s="526" t="e">
        <f t="shared" si="6"/>
        <v>#DIV/0!</v>
      </c>
      <c r="G270" s="526" t="e">
        <f t="shared" si="6"/>
        <v>#DIV/0!</v>
      </c>
      <c r="H270" s="28"/>
      <c r="I270" s="28"/>
      <c r="J270" s="28"/>
      <c r="K270" s="28"/>
    </row>
    <row r="271" spans="1:11" x14ac:dyDescent="0.25">
      <c r="A271" s="908"/>
      <c r="B271" s="337" t="s">
        <v>81</v>
      </c>
      <c r="C271" s="418">
        <f>+C266/C261</f>
        <v>0.92583732057416268</v>
      </c>
      <c r="D271" s="549">
        <f>+D266/D261</f>
        <v>0.92008339124391936</v>
      </c>
      <c r="E271" s="408"/>
      <c r="F271" s="408" t="e">
        <f>+F266/F261</f>
        <v>#DIV/0!</v>
      </c>
      <c r="G271" s="408" t="e">
        <f>+G266/G261</f>
        <v>#DIV/0!</v>
      </c>
      <c r="H271" s="28"/>
      <c r="I271" s="28"/>
      <c r="J271" s="28"/>
      <c r="K271" s="28"/>
    </row>
    <row r="272" spans="1:11" x14ac:dyDescent="0.25">
      <c r="A272" s="412"/>
      <c r="B272" s="28"/>
      <c r="C272" s="399"/>
      <c r="D272" s="517"/>
      <c r="E272" s="399"/>
      <c r="F272" s="399"/>
      <c r="G272" s="399"/>
      <c r="H272" s="28"/>
      <c r="I272" s="28"/>
      <c r="J272" s="28"/>
      <c r="K272" s="28"/>
    </row>
    <row r="273" spans="1:15" x14ac:dyDescent="0.25">
      <c r="A273" s="412"/>
      <c r="B273" s="28"/>
      <c r="C273" s="399"/>
      <c r="D273" s="517"/>
      <c r="E273" s="399"/>
      <c r="F273" s="399"/>
      <c r="G273" s="399"/>
      <c r="H273" s="28"/>
      <c r="I273" s="28"/>
      <c r="J273" s="28"/>
      <c r="K273" s="28"/>
    </row>
    <row r="274" spans="1:15" ht="42" customHeight="1" x14ac:dyDescent="0.25">
      <c r="A274" s="375"/>
      <c r="B274" s="339"/>
      <c r="C274" s="399"/>
      <c r="D274" s="517"/>
      <c r="E274" s="399"/>
      <c r="F274" s="399"/>
      <c r="G274" s="339"/>
      <c r="H274" s="28"/>
      <c r="I274" s="28"/>
      <c r="J274" s="28"/>
      <c r="K274" s="28"/>
    </row>
    <row r="275" spans="1:15" ht="35.25" customHeight="1" x14ac:dyDescent="0.25">
      <c r="A275" s="885" t="str">
        <f>+D26</f>
        <v xml:space="preserve">Porcentaje (%) de encuesta de satisfacción calificadas por los usuarios de trámites ambientales resueltos con una nota superior o igual a  cuatro (4,0) sobre cinco (5.0). </v>
      </c>
      <c r="B275" s="885"/>
      <c r="C275" s="885"/>
      <c r="D275" s="885"/>
      <c r="E275" s="885"/>
      <c r="F275" s="885"/>
      <c r="G275" s="885"/>
      <c r="H275" s="885"/>
      <c r="I275" s="885"/>
      <c r="J275" s="885"/>
      <c r="K275" s="885"/>
      <c r="L275" s="885"/>
      <c r="M275" s="885"/>
      <c r="N275" s="885"/>
      <c r="O275" s="885"/>
    </row>
    <row r="277" spans="1:15" ht="32.25" customHeight="1" x14ac:dyDescent="0.25">
      <c r="A277" s="26"/>
      <c r="G277" s="341">
        <v>2016</v>
      </c>
      <c r="H277" s="341">
        <v>2017</v>
      </c>
      <c r="I277" s="341">
        <v>2018</v>
      </c>
      <c r="J277" s="341">
        <v>2019</v>
      </c>
      <c r="K277" s="154" t="s">
        <v>1179</v>
      </c>
    </row>
    <row r="278" spans="1:15" ht="32.25" customHeight="1" x14ac:dyDescent="0.45">
      <c r="A278" s="856" t="s">
        <v>1033</v>
      </c>
      <c r="B278" s="857"/>
      <c r="C278" s="857"/>
      <c r="D278" s="857"/>
      <c r="E278" s="857"/>
      <c r="F278" s="1012"/>
      <c r="G278" s="32">
        <f>+K288</f>
        <v>1</v>
      </c>
      <c r="H278" s="32">
        <f t="shared" ref="H278:H283" si="7">+K294</f>
        <v>1</v>
      </c>
      <c r="I278" s="191">
        <f t="shared" ref="I278:I283" si="8">+K300</f>
        <v>1</v>
      </c>
      <c r="J278" s="191"/>
    </row>
    <row r="279" spans="1:15" ht="32.25" customHeight="1" x14ac:dyDescent="0.45">
      <c r="A279" s="856" t="s">
        <v>1034</v>
      </c>
      <c r="B279" s="857"/>
      <c r="C279" s="857"/>
      <c r="D279" s="857"/>
      <c r="E279" s="857"/>
      <c r="F279" s="1012"/>
      <c r="G279" s="32">
        <f>+K292</f>
        <v>0.8</v>
      </c>
      <c r="H279" s="32">
        <f t="shared" si="7"/>
        <v>1</v>
      </c>
      <c r="I279" s="191">
        <f t="shared" si="8"/>
        <v>1</v>
      </c>
      <c r="J279" s="191"/>
    </row>
    <row r="280" spans="1:15" ht="32.25" customHeight="1" x14ac:dyDescent="0.45">
      <c r="A280" s="856" t="s">
        <v>1035</v>
      </c>
      <c r="B280" s="857"/>
      <c r="C280" s="857"/>
      <c r="D280" s="857"/>
      <c r="E280" s="857"/>
      <c r="F280" s="1012"/>
      <c r="G280" s="32">
        <f>+K289</f>
        <v>1</v>
      </c>
      <c r="H280" s="32">
        <f t="shared" si="7"/>
        <v>1</v>
      </c>
      <c r="I280" s="191">
        <f t="shared" si="8"/>
        <v>1</v>
      </c>
      <c r="J280" s="191"/>
    </row>
    <row r="281" spans="1:15" ht="32.25" customHeight="1" x14ac:dyDescent="0.45">
      <c r="A281" s="856" t="s">
        <v>1036</v>
      </c>
      <c r="B281" s="857"/>
      <c r="C281" s="857"/>
      <c r="D281" s="857"/>
      <c r="E281" s="857"/>
      <c r="F281" s="1012"/>
      <c r="G281" s="32">
        <f>+K290</f>
        <v>0.9375</v>
      </c>
      <c r="H281" s="32" t="e">
        <f t="shared" si="7"/>
        <v>#DIV/0!</v>
      </c>
      <c r="I281" s="191" t="e">
        <f t="shared" si="8"/>
        <v>#DIV/0!</v>
      </c>
      <c r="J281" s="191"/>
    </row>
    <row r="282" spans="1:15" ht="32.25" customHeight="1" x14ac:dyDescent="0.45">
      <c r="A282" s="856" t="s">
        <v>1037</v>
      </c>
      <c r="B282" s="857"/>
      <c r="C282" s="857"/>
      <c r="D282" s="857"/>
      <c r="E282" s="857"/>
      <c r="F282" s="1012"/>
      <c r="G282" s="32">
        <f>+K291</f>
        <v>0.72727272727272729</v>
      </c>
      <c r="H282" s="32" t="e">
        <f t="shared" si="7"/>
        <v>#DIV/0!</v>
      </c>
      <c r="I282" s="191" t="e">
        <f t="shared" si="8"/>
        <v>#DIV/0!</v>
      </c>
      <c r="J282" s="191"/>
    </row>
    <row r="283" spans="1:15" ht="23" x14ac:dyDescent="0.45">
      <c r="A283" s="856" t="s">
        <v>1038</v>
      </c>
      <c r="B283" s="857"/>
      <c r="C283" s="857"/>
      <c r="D283" s="857"/>
      <c r="E283" s="857"/>
      <c r="F283" s="1012"/>
      <c r="G283" s="32">
        <f>+K293</f>
        <v>0.8571428571428571</v>
      </c>
      <c r="H283" s="32">
        <f t="shared" si="7"/>
        <v>1</v>
      </c>
      <c r="I283" s="191">
        <f t="shared" si="8"/>
        <v>1</v>
      </c>
      <c r="J283" s="191"/>
    </row>
    <row r="284" spans="1:15" ht="23" x14ac:dyDescent="0.45">
      <c r="A284" s="856" t="s">
        <v>76</v>
      </c>
      <c r="B284" s="857"/>
      <c r="C284" s="857"/>
      <c r="D284" s="857"/>
      <c r="E284" s="857"/>
      <c r="F284" s="1012"/>
      <c r="G284" s="32">
        <v>0.9</v>
      </c>
      <c r="H284" s="32">
        <v>0.9</v>
      </c>
      <c r="I284" s="191">
        <v>0.9</v>
      </c>
      <c r="J284" s="191">
        <v>0.9</v>
      </c>
    </row>
    <row r="285" spans="1:15" x14ac:dyDescent="0.25">
      <c r="A285" s="5"/>
    </row>
    <row r="286" spans="1:15" ht="17.5" x14ac:dyDescent="0.25">
      <c r="A286" s="5"/>
      <c r="B286" s="28"/>
      <c r="C286" s="28"/>
      <c r="D286" s="340"/>
      <c r="G286" s="858" t="s">
        <v>77</v>
      </c>
      <c r="H286" s="858"/>
      <c r="I286" s="858" t="s">
        <v>78</v>
      </c>
      <c r="J286" s="858"/>
      <c r="K286" s="858"/>
      <c r="L286" s="858" t="s">
        <v>79</v>
      </c>
      <c r="M286" s="858"/>
      <c r="N286" s="858"/>
      <c r="O286" s="858"/>
    </row>
    <row r="287" spans="1:15" ht="137.25" customHeight="1" x14ac:dyDescent="0.25">
      <c r="A287" s="5"/>
      <c r="G287" s="858"/>
      <c r="H287" s="858"/>
      <c r="I287" s="59" t="s">
        <v>804</v>
      </c>
      <c r="J287" s="59" t="s">
        <v>220</v>
      </c>
      <c r="K287" s="59" t="s">
        <v>805</v>
      </c>
      <c r="L287" s="858"/>
      <c r="M287" s="858"/>
      <c r="N287" s="858"/>
      <c r="O287" s="858"/>
    </row>
    <row r="288" spans="1:15" ht="25.5" customHeight="1" x14ac:dyDescent="0.25">
      <c r="G288" s="880">
        <v>2016</v>
      </c>
      <c r="H288" s="34" t="s">
        <v>1180</v>
      </c>
      <c r="I288" s="527">
        <v>1</v>
      </c>
      <c r="J288" s="527">
        <v>1</v>
      </c>
      <c r="K288" s="155">
        <f t="shared" ref="K288:K299" si="9">+I288/J288</f>
        <v>1</v>
      </c>
      <c r="L288" s="869"/>
      <c r="M288" s="869"/>
      <c r="N288" s="869"/>
      <c r="O288" s="869"/>
    </row>
    <row r="289" spans="7:15" ht="25.5" customHeight="1" x14ac:dyDescent="0.25">
      <c r="G289" s="881"/>
      <c r="H289" s="34" t="s">
        <v>563</v>
      </c>
      <c r="I289" s="527">
        <v>4</v>
      </c>
      <c r="J289" s="527">
        <v>4</v>
      </c>
      <c r="K289" s="155">
        <f t="shared" si="9"/>
        <v>1</v>
      </c>
      <c r="L289" s="869"/>
      <c r="M289" s="869"/>
      <c r="N289" s="869"/>
      <c r="O289" s="869"/>
    </row>
    <row r="290" spans="7:15" ht="25.5" customHeight="1" x14ac:dyDescent="0.25">
      <c r="G290" s="881"/>
      <c r="H290" s="34" t="s">
        <v>564</v>
      </c>
      <c r="I290" s="527">
        <v>15</v>
      </c>
      <c r="J290" s="527">
        <v>16</v>
      </c>
      <c r="K290" s="155">
        <f t="shared" si="9"/>
        <v>0.9375</v>
      </c>
      <c r="L290" s="869"/>
      <c r="M290" s="869"/>
      <c r="N290" s="869"/>
      <c r="O290" s="869"/>
    </row>
    <row r="291" spans="7:15" ht="25.5" customHeight="1" x14ac:dyDescent="0.25">
      <c r="G291" s="881"/>
      <c r="H291" s="34" t="s">
        <v>80</v>
      </c>
      <c r="I291" s="527">
        <v>8</v>
      </c>
      <c r="J291" s="527">
        <v>11</v>
      </c>
      <c r="K291" s="155">
        <f t="shared" si="9"/>
        <v>0.72727272727272729</v>
      </c>
      <c r="L291" s="869"/>
      <c r="M291" s="869"/>
      <c r="N291" s="869"/>
      <c r="O291" s="869"/>
    </row>
    <row r="292" spans="7:15" ht="25.5" customHeight="1" x14ac:dyDescent="0.25">
      <c r="G292" s="881"/>
      <c r="H292" s="34" t="s">
        <v>565</v>
      </c>
      <c r="I292" s="527">
        <v>8</v>
      </c>
      <c r="J292" s="527">
        <v>10</v>
      </c>
      <c r="K292" s="155">
        <f t="shared" si="9"/>
        <v>0.8</v>
      </c>
      <c r="L292" s="869"/>
      <c r="M292" s="869"/>
      <c r="N292" s="869"/>
      <c r="O292" s="869"/>
    </row>
    <row r="293" spans="7:15" ht="25.5" customHeight="1" x14ac:dyDescent="0.25">
      <c r="G293" s="882"/>
      <c r="H293" s="528" t="s">
        <v>81</v>
      </c>
      <c r="I293" s="35">
        <f>SUM(I288:I292)</f>
        <v>36</v>
      </c>
      <c r="J293" s="35">
        <f>SUM(J288:J292)</f>
        <v>42</v>
      </c>
      <c r="K293" s="33">
        <f t="shared" si="9"/>
        <v>0.8571428571428571</v>
      </c>
      <c r="L293" s="883"/>
      <c r="M293" s="883"/>
      <c r="N293" s="883"/>
      <c r="O293" s="884"/>
    </row>
    <row r="294" spans="7:15" ht="34.5" customHeight="1" x14ac:dyDescent="0.25">
      <c r="G294" s="880">
        <v>2017</v>
      </c>
      <c r="H294" s="34" t="s">
        <v>1180</v>
      </c>
      <c r="I294" s="514">
        <v>18</v>
      </c>
      <c r="J294" s="514">
        <v>18</v>
      </c>
      <c r="K294" s="33">
        <f t="shared" si="9"/>
        <v>1</v>
      </c>
      <c r="L294" s="860"/>
      <c r="M294" s="860"/>
      <c r="N294" s="860"/>
      <c r="O294" s="860"/>
    </row>
    <row r="295" spans="7:15" ht="34.5" customHeight="1" x14ac:dyDescent="0.25">
      <c r="G295" s="881"/>
      <c r="H295" s="34" t="s">
        <v>563</v>
      </c>
      <c r="I295" s="514">
        <v>2</v>
      </c>
      <c r="J295" s="514">
        <v>2</v>
      </c>
      <c r="K295" s="33">
        <f>+I295/J295</f>
        <v>1</v>
      </c>
      <c r="L295" s="860"/>
      <c r="M295" s="860"/>
      <c r="N295" s="860"/>
      <c r="O295" s="860"/>
    </row>
    <row r="296" spans="7:15" ht="34.5" customHeight="1" x14ac:dyDescent="0.25">
      <c r="G296" s="881"/>
      <c r="H296" s="34" t="s">
        <v>564</v>
      </c>
      <c r="I296" s="514">
        <v>7</v>
      </c>
      <c r="J296" s="514">
        <v>7</v>
      </c>
      <c r="K296" s="33">
        <f t="shared" si="9"/>
        <v>1</v>
      </c>
      <c r="L296" s="860"/>
      <c r="M296" s="860"/>
      <c r="N296" s="860"/>
      <c r="O296" s="860"/>
    </row>
    <row r="297" spans="7:15" ht="34.5" customHeight="1" x14ac:dyDescent="0.25">
      <c r="G297" s="881"/>
      <c r="H297" s="34" t="s">
        <v>80</v>
      </c>
      <c r="I297" s="514"/>
      <c r="J297" s="514"/>
      <c r="K297" s="33" t="e">
        <f t="shared" si="9"/>
        <v>#DIV/0!</v>
      </c>
      <c r="L297" s="870"/>
      <c r="M297" s="870"/>
      <c r="N297" s="870"/>
      <c r="O297" s="870"/>
    </row>
    <row r="298" spans="7:15" ht="34.5" customHeight="1" x14ac:dyDescent="0.25">
      <c r="G298" s="881"/>
      <c r="H298" s="34" t="s">
        <v>565</v>
      </c>
      <c r="I298" s="514"/>
      <c r="J298" s="514"/>
      <c r="K298" s="33" t="e">
        <f t="shared" si="9"/>
        <v>#DIV/0!</v>
      </c>
      <c r="L298" s="860"/>
      <c r="M298" s="860"/>
      <c r="N298" s="860"/>
      <c r="O298" s="860"/>
    </row>
    <row r="299" spans="7:15" ht="17.5" x14ac:dyDescent="0.25">
      <c r="G299" s="882"/>
      <c r="H299" s="528" t="s">
        <v>81</v>
      </c>
      <c r="I299" s="35">
        <f>SUM(I294:I298)</f>
        <v>27</v>
      </c>
      <c r="J299" s="35">
        <f>SUM(J294:J298)</f>
        <v>27</v>
      </c>
      <c r="K299" s="33">
        <f t="shared" si="9"/>
        <v>1</v>
      </c>
      <c r="L299" s="883"/>
      <c r="M299" s="883"/>
      <c r="N299" s="883"/>
      <c r="O299" s="884"/>
    </row>
    <row r="300" spans="7:15" ht="34.5" customHeight="1" x14ac:dyDescent="0.25">
      <c r="G300" s="880">
        <v>2018</v>
      </c>
      <c r="H300" s="34" t="s">
        <v>1180</v>
      </c>
      <c r="I300" s="552">
        <v>59</v>
      </c>
      <c r="J300" s="552">
        <v>59</v>
      </c>
      <c r="K300" s="33">
        <f t="shared" ref="K300:K305" si="10">+I300/J300</f>
        <v>1</v>
      </c>
      <c r="L300" s="860"/>
      <c r="M300" s="860"/>
      <c r="N300" s="860"/>
      <c r="O300" s="860"/>
    </row>
    <row r="301" spans="7:15" ht="34.5" customHeight="1" x14ac:dyDescent="0.25">
      <c r="G301" s="881"/>
      <c r="H301" s="34" t="s">
        <v>563</v>
      </c>
      <c r="I301" s="552">
        <v>2</v>
      </c>
      <c r="J301" s="552">
        <v>2</v>
      </c>
      <c r="K301" s="33">
        <f t="shared" si="10"/>
        <v>1</v>
      </c>
      <c r="L301" s="860"/>
      <c r="M301" s="860"/>
      <c r="N301" s="860"/>
      <c r="O301" s="860"/>
    </row>
    <row r="302" spans="7:15" ht="34.5" customHeight="1" x14ac:dyDescent="0.25">
      <c r="G302" s="881"/>
      <c r="H302" s="34" t="s">
        <v>564</v>
      </c>
      <c r="I302" s="552">
        <v>20</v>
      </c>
      <c r="J302" s="552">
        <v>20</v>
      </c>
      <c r="K302" s="33">
        <f t="shared" si="10"/>
        <v>1</v>
      </c>
      <c r="L302" s="860"/>
      <c r="M302" s="860"/>
      <c r="N302" s="860"/>
      <c r="O302" s="860"/>
    </row>
    <row r="303" spans="7:15" ht="34.5" customHeight="1" x14ac:dyDescent="0.25">
      <c r="G303" s="881"/>
      <c r="H303" s="34" t="s">
        <v>80</v>
      </c>
      <c r="I303" s="552"/>
      <c r="J303" s="552"/>
      <c r="K303" s="33" t="e">
        <f t="shared" si="10"/>
        <v>#DIV/0!</v>
      </c>
      <c r="L303" s="870"/>
      <c r="M303" s="870"/>
      <c r="N303" s="870"/>
      <c r="O303" s="870"/>
    </row>
    <row r="304" spans="7:15" ht="34.5" customHeight="1" x14ac:dyDescent="0.25">
      <c r="G304" s="881"/>
      <c r="H304" s="34" t="s">
        <v>565</v>
      </c>
      <c r="I304" s="552"/>
      <c r="J304" s="552"/>
      <c r="K304" s="33" t="e">
        <f t="shared" si="10"/>
        <v>#DIV/0!</v>
      </c>
      <c r="L304" s="860"/>
      <c r="M304" s="860"/>
      <c r="N304" s="860"/>
      <c r="O304" s="860"/>
    </row>
    <row r="305" spans="7:15" ht="17.5" x14ac:dyDescent="0.25">
      <c r="G305" s="882"/>
      <c r="H305" s="553" t="s">
        <v>81</v>
      </c>
      <c r="I305" s="35">
        <f>SUM(I300:I304)</f>
        <v>81</v>
      </c>
      <c r="J305" s="35">
        <f>SUM(J300:J304)</f>
        <v>81</v>
      </c>
      <c r="K305" s="33">
        <f t="shared" si="10"/>
        <v>1</v>
      </c>
      <c r="L305" s="883"/>
      <c r="M305" s="883"/>
      <c r="N305" s="883"/>
      <c r="O305" s="884"/>
    </row>
  </sheetData>
  <mergeCells count="252">
    <mergeCell ref="A283:F283"/>
    <mergeCell ref="A284:F284"/>
    <mergeCell ref="G286:H287"/>
    <mergeCell ref="I286:K286"/>
    <mergeCell ref="L286:O287"/>
    <mergeCell ref="G294:G299"/>
    <mergeCell ref="L294:O294"/>
    <mergeCell ref="L295:O295"/>
    <mergeCell ref="L296:O296"/>
    <mergeCell ref="L297:O297"/>
    <mergeCell ref="L298:O298"/>
    <mergeCell ref="L299:O299"/>
    <mergeCell ref="G288:G293"/>
    <mergeCell ref="L288:O288"/>
    <mergeCell ref="L289:O289"/>
    <mergeCell ref="L290:O290"/>
    <mergeCell ref="L291:O291"/>
    <mergeCell ref="L292:O292"/>
    <mergeCell ref="L293:O293"/>
    <mergeCell ref="A275:O275"/>
    <mergeCell ref="A278:F278"/>
    <mergeCell ref="A279:F279"/>
    <mergeCell ref="A280:F280"/>
    <mergeCell ref="A281:F281"/>
    <mergeCell ref="A282:F282"/>
    <mergeCell ref="A248:A252"/>
    <mergeCell ref="A254:O254"/>
    <mergeCell ref="A256:B256"/>
    <mergeCell ref="A257:A261"/>
    <mergeCell ref="A262:A266"/>
    <mergeCell ref="A267:A271"/>
    <mergeCell ref="A231:O231"/>
    <mergeCell ref="A232:B232"/>
    <mergeCell ref="A233:A237"/>
    <mergeCell ref="A238:A242"/>
    <mergeCell ref="A243:A247"/>
    <mergeCell ref="A224:A226"/>
    <mergeCell ref="B225:B226"/>
    <mergeCell ref="C225:C226"/>
    <mergeCell ref="D225:D226"/>
    <mergeCell ref="E225:E226"/>
    <mergeCell ref="F225:F226"/>
    <mergeCell ref="A215:A217"/>
    <mergeCell ref="A218:A220"/>
    <mergeCell ref="A221:A223"/>
    <mergeCell ref="B222:B223"/>
    <mergeCell ref="C222:C223"/>
    <mergeCell ref="D222:D223"/>
    <mergeCell ref="E222:E223"/>
    <mergeCell ref="F222:F223"/>
    <mergeCell ref="A227:F229"/>
    <mergeCell ref="A204:C204"/>
    <mergeCell ref="A205:C205"/>
    <mergeCell ref="A206:C206"/>
    <mergeCell ref="A209:L209"/>
    <mergeCell ref="A210:A211"/>
    <mergeCell ref="A212:A214"/>
    <mergeCell ref="B213:B214"/>
    <mergeCell ref="C213:C214"/>
    <mergeCell ref="D213:D214"/>
    <mergeCell ref="E213:E214"/>
    <mergeCell ref="F213:F214"/>
    <mergeCell ref="A199:D199"/>
    <mergeCell ref="A200:C200"/>
    <mergeCell ref="A201:C201"/>
    <mergeCell ref="A202:C202"/>
    <mergeCell ref="A203:C203"/>
    <mergeCell ref="A192:A194"/>
    <mergeCell ref="B193:B194"/>
    <mergeCell ref="C193:C194"/>
    <mergeCell ref="D193:D194"/>
    <mergeCell ref="A183:A185"/>
    <mergeCell ref="A186:A188"/>
    <mergeCell ref="A189:A191"/>
    <mergeCell ref="B190:B191"/>
    <mergeCell ref="C190:C191"/>
    <mergeCell ref="D190:D191"/>
    <mergeCell ref="E190:E191"/>
    <mergeCell ref="F190:F191"/>
    <mergeCell ref="A195:F197"/>
    <mergeCell ref="E193:E194"/>
    <mergeCell ref="F193:F194"/>
    <mergeCell ref="A173:F173"/>
    <mergeCell ref="A174:F174"/>
    <mergeCell ref="A175:F175"/>
    <mergeCell ref="A177:L177"/>
    <mergeCell ref="A178:A179"/>
    <mergeCell ref="A180:A182"/>
    <mergeCell ref="B181:B182"/>
    <mergeCell ref="C181:C182"/>
    <mergeCell ref="D181:D182"/>
    <mergeCell ref="E181:E182"/>
    <mergeCell ref="F181:F182"/>
    <mergeCell ref="A172:F172"/>
    <mergeCell ref="M133:O133"/>
    <mergeCell ref="G135:G164"/>
    <mergeCell ref="H135:H139"/>
    <mergeCell ref="H140:H144"/>
    <mergeCell ref="H145:H149"/>
    <mergeCell ref="H150:H154"/>
    <mergeCell ref="H155:H159"/>
    <mergeCell ref="H160:H164"/>
    <mergeCell ref="A130:F130"/>
    <mergeCell ref="A131:F131"/>
    <mergeCell ref="G133:G134"/>
    <mergeCell ref="H133:H134"/>
    <mergeCell ref="I133:I134"/>
    <mergeCell ref="J133:L133"/>
    <mergeCell ref="A122:O122"/>
    <mergeCell ref="A125:F125"/>
    <mergeCell ref="A126:F126"/>
    <mergeCell ref="A127:F127"/>
    <mergeCell ref="A128:F128"/>
    <mergeCell ref="A129:C129"/>
    <mergeCell ref="A90:A104"/>
    <mergeCell ref="B90:B94"/>
    <mergeCell ref="B95:B99"/>
    <mergeCell ref="B100:B104"/>
    <mergeCell ref="A105:A119"/>
    <mergeCell ref="B105:B109"/>
    <mergeCell ref="B110:B114"/>
    <mergeCell ref="B115:B119"/>
    <mergeCell ref="A60:A74"/>
    <mergeCell ref="B60:B64"/>
    <mergeCell ref="B65:B69"/>
    <mergeCell ref="B70:B74"/>
    <mergeCell ref="A75:A89"/>
    <mergeCell ref="B75:B79"/>
    <mergeCell ref="B80:B84"/>
    <mergeCell ref="B85:B89"/>
    <mergeCell ref="A45:A59"/>
    <mergeCell ref="B45:B49"/>
    <mergeCell ref="B50:B54"/>
    <mergeCell ref="B55:B59"/>
    <mergeCell ref="K32:K34"/>
    <mergeCell ref="N32:N34"/>
    <mergeCell ref="O32:O34"/>
    <mergeCell ref="C35:C37"/>
    <mergeCell ref="D35:D37"/>
    <mergeCell ref="E35:E37"/>
    <mergeCell ref="F35:F37"/>
    <mergeCell ref="G35:I37"/>
    <mergeCell ref="J35:J37"/>
    <mergeCell ref="K35:K37"/>
    <mergeCell ref="C32:C34"/>
    <mergeCell ref="D32:D34"/>
    <mergeCell ref="E32:E34"/>
    <mergeCell ref="F32:F34"/>
    <mergeCell ref="G32:I34"/>
    <mergeCell ref="J32:J34"/>
    <mergeCell ref="C26:C28"/>
    <mergeCell ref="D26:D28"/>
    <mergeCell ref="E26:E28"/>
    <mergeCell ref="F26:F28"/>
    <mergeCell ref="G26:I28"/>
    <mergeCell ref="N35:N37"/>
    <mergeCell ref="O35:O37"/>
    <mergeCell ref="A40:S40"/>
    <mergeCell ref="A43:A44"/>
    <mergeCell ref="C29:C31"/>
    <mergeCell ref="D29:D31"/>
    <mergeCell ref="E29:E31"/>
    <mergeCell ref="F29:F31"/>
    <mergeCell ref="G29:I31"/>
    <mergeCell ref="J29:J31"/>
    <mergeCell ref="K29:K31"/>
    <mergeCell ref="N29:N31"/>
    <mergeCell ref="O29:O31"/>
    <mergeCell ref="A9:B28"/>
    <mergeCell ref="C9:C10"/>
    <mergeCell ref="D9:D10"/>
    <mergeCell ref="E9:E10"/>
    <mergeCell ref="C11:C13"/>
    <mergeCell ref="D11:D13"/>
    <mergeCell ref="C23:C25"/>
    <mergeCell ref="D23:D25"/>
    <mergeCell ref="E23:E25"/>
    <mergeCell ref="F23:F25"/>
    <mergeCell ref="G23:I25"/>
    <mergeCell ref="J23:J25"/>
    <mergeCell ref="K23:K25"/>
    <mergeCell ref="C20:C22"/>
    <mergeCell ref="D20:D22"/>
    <mergeCell ref="E20:E22"/>
    <mergeCell ref="F20:F22"/>
    <mergeCell ref="G20:I22"/>
    <mergeCell ref="J20:J22"/>
    <mergeCell ref="K20:K22"/>
    <mergeCell ref="C17:C19"/>
    <mergeCell ref="D17:D19"/>
    <mergeCell ref="E17:E19"/>
    <mergeCell ref="F17:F19"/>
    <mergeCell ref="G17:I19"/>
    <mergeCell ref="J17:J19"/>
    <mergeCell ref="K17:K19"/>
    <mergeCell ref="N17:N19"/>
    <mergeCell ref="F9:F10"/>
    <mergeCell ref="G9:I10"/>
    <mergeCell ref="J9:J10"/>
    <mergeCell ref="F11:F13"/>
    <mergeCell ref="G11:I13"/>
    <mergeCell ref="J11:J13"/>
    <mergeCell ref="K11:K13"/>
    <mergeCell ref="N11:N13"/>
    <mergeCell ref="E11:E13"/>
    <mergeCell ref="C14:C16"/>
    <mergeCell ref="D14:D16"/>
    <mergeCell ref="E14:E16"/>
    <mergeCell ref="F14:F16"/>
    <mergeCell ref="G14:I16"/>
    <mergeCell ref="J14:J16"/>
    <mergeCell ref="K14:K16"/>
    <mergeCell ref="G300:G305"/>
    <mergeCell ref="L300:O300"/>
    <mergeCell ref="L301:O301"/>
    <mergeCell ref="L302:O302"/>
    <mergeCell ref="L303:O303"/>
    <mergeCell ref="L304:O304"/>
    <mergeCell ref="L305:O305"/>
    <mergeCell ref="K9:K10"/>
    <mergeCell ref="N9:N10"/>
    <mergeCell ref="O17:O19"/>
    <mergeCell ref="O14:O16"/>
    <mergeCell ref="O20:O22"/>
    <mergeCell ref="N23:N25"/>
    <mergeCell ref="O23:O25"/>
    <mergeCell ref="N20:N22"/>
    <mergeCell ref="J26:J28"/>
    <mergeCell ref="K26:K28"/>
    <mergeCell ref="N26:N28"/>
    <mergeCell ref="O26:O28"/>
    <mergeCell ref="A166:O166"/>
    <mergeCell ref="A168:F168"/>
    <mergeCell ref="A169:F169"/>
    <mergeCell ref="A170:F170"/>
    <mergeCell ref="A171:F171"/>
    <mergeCell ref="N14:N16"/>
    <mergeCell ref="O11:O13"/>
    <mergeCell ref="O9:O10"/>
    <mergeCell ref="A1:D1"/>
    <mergeCell ref="A2:O2"/>
    <mergeCell ref="A4:B8"/>
    <mergeCell ref="C4:C8"/>
    <mergeCell ref="D4:D8"/>
    <mergeCell ref="E4:E8"/>
    <mergeCell ref="F4:F8"/>
    <mergeCell ref="G4:I4"/>
    <mergeCell ref="J4:J8"/>
    <mergeCell ref="K4:K8"/>
    <mergeCell ref="L4:M4"/>
    <mergeCell ref="N4:N8"/>
    <mergeCell ref="O4:O8"/>
  </mergeCells>
  <hyperlinks>
    <hyperlink ref="A275:N275" location="'Hoja 6. AA'!A4" display="'Hoja 6. AA'!A4" xr:uid="{00000000-0004-0000-2900-000000000000}"/>
    <hyperlink ref="A275:O275" location="'Hoja 11. TABLA DE CONTROL'!B41" display="'Hoja 11. TABLA DE CONTROL'!B41" xr:uid="{00000000-0004-0000-2900-000001000000}"/>
    <hyperlink ref="A166:O166" location="'Hoja 6. AA'!A1" display="'Hoja 6. AA'!A1" xr:uid="{00000000-0004-0000-2900-000002000000}"/>
    <hyperlink ref="D9:D10" location="'Hoja 6. AA'!D38" display="Tiempo promedio de trámite para la resolución de autorizaciones ambientales otorgadas por la corporación (Ver fila 38)" xr:uid="{00000000-0004-0000-2900-000003000000}"/>
    <hyperlink ref="D11:D13" location="'Hoja 6. AA'!A113" display="Porcentaje (%) de trámites resueltos en un tiempo igual o inferior a lo reglamentado en el SGC (Ver fila 72 )" xr:uid="{00000000-0004-0000-2900-000004000000}"/>
    <hyperlink ref="D14:D16" location="'Hoja 6. AA'!A156" display="Porcentaje de autorizaciones ambientales con seguimiento (Ver fila 125) en función de cantidad de autorizaciones" xr:uid="{00000000-0004-0000-2900-000005000000}"/>
    <hyperlink ref="D17:D19" location="'Hoja 6. AA'!A195" display="Porcentaje de autorizaciones ambientales con seguimiento (Ver fila 148) en funcion del volumen autorizado" xr:uid="{00000000-0004-0000-2900-000006000000}"/>
    <hyperlink ref="D14:D15" location="'Hoja 6. AA'!A156" display="Porcentaje de autorizaciones ambientales con seguimiento en función de cantidad de autorizaciones" xr:uid="{00000000-0004-0000-2900-000007000000}"/>
    <hyperlink ref="D20:D22" location="'Hoja 6. AA'!A237" display="Porcentaje de Procesos Sancionatorios Resueltos (Ver fila 167 )" xr:uid="{00000000-0004-0000-2900-000008000000}"/>
    <hyperlink ref="D23:D25" location="'Hoja 6. AA'!A237" display="IP: % de quejas y contravenciones ambientales atendidas. (Ver fila 190)" xr:uid="{00000000-0004-0000-2900-000009000000}"/>
    <hyperlink ref="D26:D28" location="'Hoja 6. AA'!A258" display="Porcentaje (%) de encuesta de satisfacción calificadas por los usuarios de trámites ambientales resueltos con una nota superior o igual a  cuatro (4,0) sobre cinco (5.0). (ver fila 211)" xr:uid="{00000000-0004-0000-2900-00000A000000}"/>
    <hyperlink ref="D29:D31" location="'Hoja 6. AA'!A258" display="Porcentaje (%) de encuesta de satisfacción calificadas por los usuarios de trámites ambientales resueltos con una nota superior o igual a  cuatro (4,0) sobre cinco (5.0). (ver fila 211)" xr:uid="{00000000-0004-0000-2900-00000B000000}"/>
    <hyperlink ref="D32:D34" location="'Hoja 6. AA'!A258" display="Porcentaje (%) de encuesta de satisfacción calificadas por los usuarios de trámites ambientales resueltos con una nota superior o igual a  cuatro (4,0) sobre cinco (5.0). (ver fila 211)" xr:uid="{00000000-0004-0000-2900-00000C000000}"/>
    <hyperlink ref="D35:D37" location="'Hoja 2. DI'!A142" display="ESTABLECER MECANISMOS VIRTUALES DE INTERACCIÓN CONSTANTE CON LA CIUDADANÍA, A TRAVÉS DE FOROS EN EL SITIO WEB DE CORPOURABA" xr:uid="{00000000-0004-0000-2900-00000D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06
Hoja 6. Indicadores Proceso Aplicación de la Autoridad Ambiental
Página &amp;P de &amp;N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rgb="FF006600"/>
  </sheetPr>
  <dimension ref="A2:P40"/>
  <sheetViews>
    <sheetView showGridLines="0" topLeftCell="F1" zoomScale="37" zoomScaleNormal="37" workbookViewId="0">
      <selection activeCell="O13" sqref="O13:O15"/>
    </sheetView>
  </sheetViews>
  <sheetFormatPr baseColWidth="10" defaultColWidth="11.453125" defaultRowHeight="13.5" x14ac:dyDescent="0.25"/>
  <cols>
    <col min="1" max="2" width="12.453125" style="616" customWidth="1"/>
    <col min="3" max="3" width="18.54296875" style="616" customWidth="1"/>
    <col min="4" max="4" width="34.08984375" style="616" customWidth="1"/>
    <col min="5" max="5" width="28.90625" style="616" customWidth="1"/>
    <col min="6" max="6" width="25.08984375" style="616" customWidth="1"/>
    <col min="7" max="7" width="14.6328125" style="616" customWidth="1"/>
    <col min="8" max="8" width="21.08984375" style="616" customWidth="1"/>
    <col min="9" max="9" width="16.6328125" style="616" customWidth="1"/>
    <col min="10" max="10" width="15.90625" style="616" customWidth="1"/>
    <col min="11" max="11" width="15.08984375" style="616" customWidth="1"/>
    <col min="12" max="12" width="25.36328125" style="616" customWidth="1"/>
    <col min="13" max="13" width="41.453125" style="616" customWidth="1"/>
    <col min="14" max="14" width="17.90625" style="616" customWidth="1"/>
    <col min="15" max="15" width="21.54296875" style="616" customWidth="1"/>
    <col min="16" max="16" width="28.54296875" style="2" customWidth="1"/>
    <col min="17" max="16384" width="11.453125" style="2"/>
  </cols>
  <sheetData>
    <row r="2" spans="1:16" ht="64.5" customHeight="1" x14ac:dyDescent="0.25">
      <c r="A2" s="1120"/>
      <c r="B2" s="1120"/>
      <c r="C2" s="1120"/>
      <c r="D2" s="1120"/>
      <c r="E2" s="617"/>
      <c r="F2" s="617"/>
      <c r="G2" s="617"/>
      <c r="H2" s="617"/>
      <c r="I2" s="617"/>
      <c r="J2" s="617"/>
      <c r="K2" s="617"/>
      <c r="L2" s="617"/>
      <c r="M2" s="617"/>
      <c r="N2" s="617"/>
      <c r="O2" s="617"/>
    </row>
    <row r="3" spans="1:16" ht="27.75" customHeight="1" x14ac:dyDescent="0.25">
      <c r="A3" s="1126" t="s">
        <v>23</v>
      </c>
      <c r="B3" s="1127"/>
      <c r="C3" s="1127"/>
      <c r="D3" s="1127"/>
      <c r="E3" s="1127"/>
      <c r="F3" s="1127"/>
      <c r="G3" s="1127"/>
      <c r="H3" s="1127"/>
      <c r="I3" s="1127"/>
      <c r="J3" s="1127"/>
      <c r="K3" s="1127"/>
      <c r="L3" s="1127"/>
      <c r="M3" s="1127"/>
      <c r="N3" s="1127"/>
      <c r="O3" s="1127"/>
      <c r="P3" s="1127"/>
    </row>
    <row r="5" spans="1:16" s="4" customFormat="1" ht="41.25" customHeight="1" x14ac:dyDescent="0.35">
      <c r="A5" s="1121" t="s">
        <v>0</v>
      </c>
      <c r="B5" s="1121"/>
      <c r="C5" s="1121" t="s">
        <v>26</v>
      </c>
      <c r="D5" s="1121" t="s">
        <v>1</v>
      </c>
      <c r="E5" s="1121" t="s">
        <v>2</v>
      </c>
      <c r="F5" s="1121" t="s">
        <v>3</v>
      </c>
      <c r="G5" s="1121" t="s">
        <v>1185</v>
      </c>
      <c r="H5" s="1121"/>
      <c r="I5" s="1121"/>
      <c r="J5" s="1115" t="s">
        <v>4</v>
      </c>
      <c r="K5" s="1115" t="s">
        <v>5</v>
      </c>
      <c r="L5" s="1113" t="s">
        <v>1186</v>
      </c>
      <c r="M5" s="1114"/>
      <c r="N5" s="1115" t="s">
        <v>6</v>
      </c>
      <c r="O5" s="1115" t="s">
        <v>7</v>
      </c>
      <c r="P5" s="754" t="s">
        <v>1222</v>
      </c>
    </row>
    <row r="6" spans="1:16" s="4" customFormat="1" ht="43.5" customHeight="1" x14ac:dyDescent="0.35">
      <c r="A6" s="1121"/>
      <c r="B6" s="1121"/>
      <c r="C6" s="1121"/>
      <c r="D6" s="1121"/>
      <c r="E6" s="1121"/>
      <c r="F6" s="1121"/>
      <c r="G6" s="646" t="s">
        <v>31</v>
      </c>
      <c r="H6" s="646" t="s">
        <v>32</v>
      </c>
      <c r="I6" s="646" t="s">
        <v>43</v>
      </c>
      <c r="J6" s="1116"/>
      <c r="K6" s="1116"/>
      <c r="L6" s="646" t="s">
        <v>47</v>
      </c>
      <c r="M6" s="646" t="s">
        <v>48</v>
      </c>
      <c r="N6" s="1116"/>
      <c r="O6" s="1116"/>
      <c r="P6" s="755"/>
    </row>
    <row r="7" spans="1:16" s="4" customFormat="1" ht="68.25" customHeight="1" x14ac:dyDescent="0.35">
      <c r="A7" s="1121"/>
      <c r="B7" s="1121"/>
      <c r="C7" s="1121"/>
      <c r="D7" s="1121"/>
      <c r="E7" s="1121"/>
      <c r="F7" s="1121"/>
      <c r="G7" s="647" t="s">
        <v>35</v>
      </c>
      <c r="H7" s="648" t="s">
        <v>37</v>
      </c>
      <c r="I7" s="647" t="s">
        <v>40</v>
      </c>
      <c r="J7" s="1116"/>
      <c r="K7" s="1116"/>
      <c r="L7" s="618" t="s">
        <v>44</v>
      </c>
      <c r="M7" s="648" t="s">
        <v>52</v>
      </c>
      <c r="N7" s="1116"/>
      <c r="O7" s="1116"/>
      <c r="P7" s="755"/>
    </row>
    <row r="8" spans="1:16" s="4" customFormat="1" ht="75" customHeight="1" x14ac:dyDescent="0.35">
      <c r="A8" s="1121"/>
      <c r="B8" s="1121"/>
      <c r="C8" s="1121"/>
      <c r="D8" s="1121"/>
      <c r="E8" s="1121"/>
      <c r="F8" s="1121"/>
      <c r="G8" s="647" t="s">
        <v>34</v>
      </c>
      <c r="H8" s="648" t="s">
        <v>38</v>
      </c>
      <c r="I8" s="647" t="s">
        <v>41</v>
      </c>
      <c r="J8" s="1116"/>
      <c r="K8" s="1116"/>
      <c r="L8" s="619" t="s">
        <v>45</v>
      </c>
      <c r="M8" s="648" t="s">
        <v>50</v>
      </c>
      <c r="N8" s="1116"/>
      <c r="O8" s="1116"/>
      <c r="P8" s="755"/>
    </row>
    <row r="9" spans="1:16" s="4" customFormat="1" ht="77.25" customHeight="1" x14ac:dyDescent="0.35">
      <c r="A9" s="1115"/>
      <c r="B9" s="1115"/>
      <c r="C9" s="1115"/>
      <c r="D9" s="1115"/>
      <c r="E9" s="1115"/>
      <c r="F9" s="1115"/>
      <c r="G9" s="649" t="s">
        <v>36</v>
      </c>
      <c r="H9" s="650" t="s">
        <v>39</v>
      </c>
      <c r="I9" s="649" t="s">
        <v>42</v>
      </c>
      <c r="J9" s="1116"/>
      <c r="K9" s="1116"/>
      <c r="L9" s="620" t="s">
        <v>46</v>
      </c>
      <c r="M9" s="650" t="s">
        <v>51</v>
      </c>
      <c r="N9" s="1116"/>
      <c r="O9" s="1116"/>
      <c r="P9" s="756"/>
    </row>
    <row r="10" spans="1:16" ht="82" customHeight="1" x14ac:dyDescent="0.25">
      <c r="A10" s="1100"/>
      <c r="B10" s="1101"/>
      <c r="C10" s="1109"/>
      <c r="D10" s="787"/>
      <c r="E10" s="1122"/>
      <c r="F10" s="1110"/>
      <c r="G10" s="1108"/>
      <c r="H10" s="1108"/>
      <c r="I10" s="1108"/>
      <c r="J10" s="1110"/>
      <c r="K10" s="1106"/>
      <c r="L10" s="680" t="s">
        <v>44</v>
      </c>
      <c r="M10" s="621"/>
      <c r="N10" s="1108"/>
      <c r="O10" s="1108"/>
      <c r="P10" s="782"/>
    </row>
    <row r="11" spans="1:16" ht="82" customHeight="1" x14ac:dyDescent="0.25">
      <c r="A11" s="1102"/>
      <c r="B11" s="1103"/>
      <c r="C11" s="1109"/>
      <c r="D11" s="787"/>
      <c r="E11" s="1122"/>
      <c r="F11" s="1110"/>
      <c r="G11" s="1108"/>
      <c r="H11" s="1108"/>
      <c r="I11" s="1108"/>
      <c r="J11" s="1110"/>
      <c r="K11" s="791"/>
      <c r="L11" s="680" t="s">
        <v>45</v>
      </c>
      <c r="M11" s="577"/>
      <c r="N11" s="1108"/>
      <c r="O11" s="1108"/>
      <c r="P11" s="783"/>
    </row>
    <row r="12" spans="1:16" ht="82" customHeight="1" x14ac:dyDescent="0.25">
      <c r="A12" s="1102"/>
      <c r="B12" s="1103"/>
      <c r="C12" s="1109"/>
      <c r="D12" s="787"/>
      <c r="E12" s="1122"/>
      <c r="F12" s="1110"/>
      <c r="G12" s="1108"/>
      <c r="H12" s="1108"/>
      <c r="I12" s="1108"/>
      <c r="J12" s="1110"/>
      <c r="K12" s="792"/>
      <c r="L12" s="680" t="s">
        <v>46</v>
      </c>
      <c r="M12" s="578"/>
      <c r="N12" s="1108"/>
      <c r="O12" s="1108"/>
      <c r="P12" s="783"/>
    </row>
    <row r="13" spans="1:16" ht="63" customHeight="1" x14ac:dyDescent="0.25">
      <c r="A13" s="1102"/>
      <c r="B13" s="1103"/>
      <c r="C13" s="1109"/>
      <c r="D13" s="787"/>
      <c r="E13" s="1122"/>
      <c r="F13" s="1110"/>
      <c r="G13" s="1108"/>
      <c r="H13" s="1108"/>
      <c r="I13" s="1108"/>
      <c r="J13" s="1110"/>
      <c r="K13" s="1123"/>
      <c r="L13" s="681" t="s">
        <v>44</v>
      </c>
      <c r="M13" s="581"/>
      <c r="N13" s="1108"/>
      <c r="O13" s="1108"/>
      <c r="P13" s="782"/>
    </row>
    <row r="14" spans="1:16" ht="63" customHeight="1" x14ac:dyDescent="0.25">
      <c r="A14" s="1102"/>
      <c r="B14" s="1103"/>
      <c r="C14" s="1109"/>
      <c r="D14" s="787"/>
      <c r="E14" s="1122"/>
      <c r="F14" s="1110"/>
      <c r="G14" s="1108"/>
      <c r="H14" s="1108"/>
      <c r="I14" s="1108"/>
      <c r="J14" s="1110"/>
      <c r="K14" s="1076"/>
      <c r="L14" s="681" t="s">
        <v>45</v>
      </c>
      <c r="M14" s="582"/>
      <c r="N14" s="1108"/>
      <c r="O14" s="1108"/>
      <c r="P14" s="783"/>
    </row>
    <row r="15" spans="1:16" ht="63" customHeight="1" x14ac:dyDescent="0.25">
      <c r="A15" s="1102"/>
      <c r="B15" s="1103"/>
      <c r="C15" s="1109"/>
      <c r="D15" s="787"/>
      <c r="E15" s="1122"/>
      <c r="F15" s="1110"/>
      <c r="G15" s="1108"/>
      <c r="H15" s="1108"/>
      <c r="I15" s="1108"/>
      <c r="J15" s="1110"/>
      <c r="K15" s="1077"/>
      <c r="L15" s="681" t="s">
        <v>46</v>
      </c>
      <c r="M15" s="583"/>
      <c r="N15" s="1108"/>
      <c r="O15" s="1108"/>
      <c r="P15" s="783"/>
    </row>
    <row r="16" spans="1:16" ht="73" customHeight="1" x14ac:dyDescent="0.25">
      <c r="A16" s="1102"/>
      <c r="B16" s="1103"/>
      <c r="C16" s="1109"/>
      <c r="D16" s="787"/>
      <c r="E16" s="1108"/>
      <c r="F16" s="1110"/>
      <c r="G16" s="1108"/>
      <c r="H16" s="1108"/>
      <c r="I16" s="1108"/>
      <c r="J16" s="1110"/>
      <c r="K16" s="790"/>
      <c r="L16" s="680" t="s">
        <v>44</v>
      </c>
      <c r="M16" s="615"/>
      <c r="N16" s="1108"/>
      <c r="O16" s="1108"/>
      <c r="P16" s="782"/>
    </row>
    <row r="17" spans="1:16" ht="73" customHeight="1" x14ac:dyDescent="0.25">
      <c r="A17" s="1102"/>
      <c r="B17" s="1103"/>
      <c r="C17" s="1109"/>
      <c r="D17" s="787"/>
      <c r="E17" s="1108"/>
      <c r="F17" s="1110"/>
      <c r="G17" s="1108"/>
      <c r="H17" s="1108"/>
      <c r="I17" s="1108"/>
      <c r="J17" s="1110"/>
      <c r="K17" s="791"/>
      <c r="L17" s="680" t="s">
        <v>45</v>
      </c>
      <c r="M17" s="582"/>
      <c r="N17" s="1108"/>
      <c r="O17" s="1108"/>
      <c r="P17" s="783"/>
    </row>
    <row r="18" spans="1:16" ht="73" customHeight="1" x14ac:dyDescent="0.25">
      <c r="A18" s="1102"/>
      <c r="B18" s="1103"/>
      <c r="C18" s="1109"/>
      <c r="D18" s="787"/>
      <c r="E18" s="1108"/>
      <c r="F18" s="1110"/>
      <c r="G18" s="1108"/>
      <c r="H18" s="1108"/>
      <c r="I18" s="1108"/>
      <c r="J18" s="1110"/>
      <c r="K18" s="792"/>
      <c r="L18" s="680" t="s">
        <v>46</v>
      </c>
      <c r="M18" s="583"/>
      <c r="N18" s="1108"/>
      <c r="O18" s="1108"/>
      <c r="P18" s="783"/>
    </row>
    <row r="19" spans="1:16" ht="63" customHeight="1" x14ac:dyDescent="0.25">
      <c r="A19" s="1102"/>
      <c r="B19" s="1103"/>
      <c r="C19" s="1109"/>
      <c r="D19" s="787"/>
      <c r="E19" s="1122"/>
      <c r="F19" s="1110"/>
      <c r="G19" s="1108"/>
      <c r="H19" s="1108"/>
      <c r="I19" s="1108"/>
      <c r="J19" s="1110"/>
      <c r="K19" s="765"/>
      <c r="L19" s="681" t="s">
        <v>44</v>
      </c>
      <c r="M19" s="624"/>
      <c r="N19" s="1108"/>
      <c r="O19" s="1108"/>
      <c r="P19" s="1124"/>
    </row>
    <row r="20" spans="1:16" ht="63" customHeight="1" x14ac:dyDescent="0.25">
      <c r="A20" s="1102"/>
      <c r="B20" s="1103"/>
      <c r="C20" s="1109"/>
      <c r="D20" s="787"/>
      <c r="E20" s="1122"/>
      <c r="F20" s="1110"/>
      <c r="G20" s="1108"/>
      <c r="H20" s="1108"/>
      <c r="I20" s="1108"/>
      <c r="J20" s="1110"/>
      <c r="K20" s="766"/>
      <c r="L20" s="681" t="s">
        <v>45</v>
      </c>
      <c r="M20" s="622"/>
      <c r="N20" s="1108"/>
      <c r="O20" s="1108"/>
      <c r="P20" s="1125"/>
    </row>
    <row r="21" spans="1:16" ht="63" customHeight="1" x14ac:dyDescent="0.25">
      <c r="A21" s="1102"/>
      <c r="B21" s="1103"/>
      <c r="C21" s="1109"/>
      <c r="D21" s="787"/>
      <c r="E21" s="1122"/>
      <c r="F21" s="1110"/>
      <c r="G21" s="1108"/>
      <c r="H21" s="1108"/>
      <c r="I21" s="1108"/>
      <c r="J21" s="1110"/>
      <c r="K21" s="767"/>
      <c r="L21" s="681" t="s">
        <v>46</v>
      </c>
      <c r="M21" s="623"/>
      <c r="N21" s="1108"/>
      <c r="O21" s="1108"/>
      <c r="P21" s="1125"/>
    </row>
    <row r="22" spans="1:16" ht="63" customHeight="1" x14ac:dyDescent="0.25">
      <c r="A22" s="1102"/>
      <c r="B22" s="1103"/>
      <c r="C22" s="1109"/>
      <c r="D22" s="787"/>
      <c r="E22" s="1122"/>
      <c r="F22" s="1110"/>
      <c r="G22" s="1108"/>
      <c r="H22" s="1108"/>
      <c r="I22" s="1108"/>
      <c r="J22" s="1110"/>
      <c r="K22" s="818"/>
      <c r="L22" s="680" t="s">
        <v>44</v>
      </c>
      <c r="M22" s="615"/>
      <c r="N22" s="1108"/>
      <c r="O22" s="1108"/>
      <c r="P22" s="782"/>
    </row>
    <row r="23" spans="1:16" ht="63" customHeight="1" x14ac:dyDescent="0.25">
      <c r="A23" s="1102"/>
      <c r="B23" s="1103"/>
      <c r="C23" s="1109"/>
      <c r="D23" s="787"/>
      <c r="E23" s="1122"/>
      <c r="F23" s="1110"/>
      <c r="G23" s="1108"/>
      <c r="H23" s="1108"/>
      <c r="I23" s="1108"/>
      <c r="J23" s="1110"/>
      <c r="K23" s="791"/>
      <c r="L23" s="680" t="s">
        <v>45</v>
      </c>
      <c r="M23" s="582"/>
      <c r="N23" s="1108"/>
      <c r="O23" s="1108"/>
      <c r="P23" s="783"/>
    </row>
    <row r="24" spans="1:16" ht="63" customHeight="1" x14ac:dyDescent="0.25">
      <c r="A24" s="1102"/>
      <c r="B24" s="1103"/>
      <c r="C24" s="1109"/>
      <c r="D24" s="787"/>
      <c r="E24" s="1122"/>
      <c r="F24" s="1110"/>
      <c r="G24" s="1108"/>
      <c r="H24" s="1108"/>
      <c r="I24" s="1108"/>
      <c r="J24" s="1110"/>
      <c r="K24" s="792"/>
      <c r="L24" s="680" t="s">
        <v>46</v>
      </c>
      <c r="M24" s="583"/>
      <c r="N24" s="1108"/>
      <c r="O24" s="1108"/>
      <c r="P24" s="783"/>
    </row>
    <row r="25" spans="1:16" ht="63" customHeight="1" x14ac:dyDescent="0.25">
      <c r="A25" s="1102"/>
      <c r="B25" s="1103"/>
      <c r="C25" s="1109"/>
      <c r="D25" s="787"/>
      <c r="E25" s="1108"/>
      <c r="F25" s="1110"/>
      <c r="G25" s="1108"/>
      <c r="H25" s="1108"/>
      <c r="I25" s="1108"/>
      <c r="J25" s="1110"/>
      <c r="K25" s="1106"/>
      <c r="L25" s="681" t="s">
        <v>44</v>
      </c>
      <c r="M25" s="624"/>
      <c r="N25" s="1108"/>
      <c r="O25" s="1108"/>
      <c r="P25" s="782"/>
    </row>
    <row r="26" spans="1:16" ht="63" customHeight="1" x14ac:dyDescent="0.25">
      <c r="A26" s="1102"/>
      <c r="B26" s="1103"/>
      <c r="C26" s="1109"/>
      <c r="D26" s="787"/>
      <c r="E26" s="1108"/>
      <c r="F26" s="1110"/>
      <c r="G26" s="1108"/>
      <c r="H26" s="1108"/>
      <c r="I26" s="1108"/>
      <c r="J26" s="1110"/>
      <c r="K26" s="791"/>
      <c r="L26" s="681" t="s">
        <v>45</v>
      </c>
      <c r="M26" s="622"/>
      <c r="N26" s="1108"/>
      <c r="O26" s="1108"/>
      <c r="P26" s="783"/>
    </row>
    <row r="27" spans="1:16" ht="63" customHeight="1" x14ac:dyDescent="0.25">
      <c r="A27" s="1102"/>
      <c r="B27" s="1103"/>
      <c r="C27" s="1109"/>
      <c r="D27" s="787"/>
      <c r="E27" s="1108"/>
      <c r="F27" s="1110"/>
      <c r="G27" s="1108"/>
      <c r="H27" s="1108"/>
      <c r="I27" s="1108"/>
      <c r="J27" s="1110"/>
      <c r="K27" s="792"/>
      <c r="L27" s="681" t="s">
        <v>46</v>
      </c>
      <c r="M27" s="623"/>
      <c r="N27" s="1108"/>
      <c r="O27" s="1108"/>
      <c r="P27" s="783"/>
    </row>
    <row r="28" spans="1:16" ht="63" customHeight="1" x14ac:dyDescent="0.25">
      <c r="A28" s="1102"/>
      <c r="B28" s="1103"/>
      <c r="C28" s="1109"/>
      <c r="D28" s="787"/>
      <c r="E28" s="1108"/>
      <c r="F28" s="1110"/>
      <c r="G28" s="1108"/>
      <c r="H28" s="1108"/>
      <c r="I28" s="1108"/>
      <c r="J28" s="1110"/>
      <c r="K28" s="790"/>
      <c r="L28" s="680" t="s">
        <v>44</v>
      </c>
      <c r="M28" s="615"/>
      <c r="N28" s="1108"/>
      <c r="O28" s="1108"/>
      <c r="P28" s="782"/>
    </row>
    <row r="29" spans="1:16" ht="63" customHeight="1" x14ac:dyDescent="0.25">
      <c r="A29" s="1102"/>
      <c r="B29" s="1103"/>
      <c r="C29" s="1109"/>
      <c r="D29" s="787"/>
      <c r="E29" s="1108"/>
      <c r="F29" s="1110"/>
      <c r="G29" s="1108"/>
      <c r="H29" s="1108"/>
      <c r="I29" s="1108"/>
      <c r="J29" s="1110"/>
      <c r="K29" s="1118"/>
      <c r="L29" s="680" t="s">
        <v>45</v>
      </c>
      <c r="M29" s="582"/>
      <c r="N29" s="1108"/>
      <c r="O29" s="1108"/>
      <c r="P29" s="783"/>
    </row>
    <row r="30" spans="1:16" ht="63" customHeight="1" x14ac:dyDescent="0.25">
      <c r="A30" s="1102"/>
      <c r="B30" s="1103"/>
      <c r="C30" s="1109"/>
      <c r="D30" s="787"/>
      <c r="E30" s="1108"/>
      <c r="F30" s="1110"/>
      <c r="G30" s="1108"/>
      <c r="H30" s="1108"/>
      <c r="I30" s="1108"/>
      <c r="J30" s="1110"/>
      <c r="K30" s="1119"/>
      <c r="L30" s="680" t="s">
        <v>46</v>
      </c>
      <c r="M30" s="583"/>
      <c r="N30" s="1108"/>
      <c r="O30" s="1108"/>
      <c r="P30" s="783"/>
    </row>
    <row r="31" spans="1:16" ht="63" customHeight="1" x14ac:dyDescent="0.25">
      <c r="A31" s="1102"/>
      <c r="B31" s="1103"/>
      <c r="C31" s="1109"/>
      <c r="D31" s="787"/>
      <c r="E31" s="1108"/>
      <c r="F31" s="1108"/>
      <c r="G31" s="1108"/>
      <c r="H31" s="1108"/>
      <c r="I31" s="1108"/>
      <c r="J31" s="1112"/>
      <c r="K31" s="765"/>
      <c r="L31" s="590" t="s">
        <v>44</v>
      </c>
      <c r="M31" s="576"/>
      <c r="N31" s="737"/>
      <c r="O31" s="724"/>
      <c r="P31" s="782"/>
    </row>
    <row r="32" spans="1:16" ht="63" customHeight="1" x14ac:dyDescent="0.25">
      <c r="A32" s="1102"/>
      <c r="B32" s="1103"/>
      <c r="C32" s="1109"/>
      <c r="D32" s="787"/>
      <c r="E32" s="1108"/>
      <c r="F32" s="1108"/>
      <c r="G32" s="1108"/>
      <c r="H32" s="1108"/>
      <c r="I32" s="1108"/>
      <c r="J32" s="1112"/>
      <c r="K32" s="766"/>
      <c r="L32" s="590" t="s">
        <v>45</v>
      </c>
      <c r="M32" s="577"/>
      <c r="N32" s="737"/>
      <c r="O32" s="724"/>
      <c r="P32" s="783"/>
    </row>
    <row r="33" spans="1:16" ht="63" customHeight="1" x14ac:dyDescent="0.25">
      <c r="A33" s="1102"/>
      <c r="B33" s="1103"/>
      <c r="C33" s="1109"/>
      <c r="D33" s="787"/>
      <c r="E33" s="1108"/>
      <c r="F33" s="1108"/>
      <c r="G33" s="1108"/>
      <c r="H33" s="1108"/>
      <c r="I33" s="1108"/>
      <c r="J33" s="1112"/>
      <c r="K33" s="767"/>
      <c r="L33" s="682" t="s">
        <v>46</v>
      </c>
      <c r="M33" s="578"/>
      <c r="N33" s="737"/>
      <c r="O33" s="724"/>
      <c r="P33" s="783"/>
    </row>
    <row r="34" spans="1:16" ht="63" customHeight="1" x14ac:dyDescent="0.25">
      <c r="A34" s="1102"/>
      <c r="B34" s="1103"/>
      <c r="C34" s="1109"/>
      <c r="D34" s="787"/>
      <c r="E34" s="1111"/>
      <c r="F34" s="1107"/>
      <c r="G34" s="1108"/>
      <c r="H34" s="1108"/>
      <c r="I34" s="1108"/>
      <c r="J34" s="1117"/>
      <c r="K34" s="1106"/>
      <c r="L34" s="683" t="s">
        <v>44</v>
      </c>
      <c r="M34" s="621"/>
      <c r="N34" s="1108"/>
      <c r="O34" s="1108"/>
      <c r="P34" s="1124"/>
    </row>
    <row r="35" spans="1:16" ht="63" customHeight="1" x14ac:dyDescent="0.25">
      <c r="A35" s="1102"/>
      <c r="B35" s="1103"/>
      <c r="C35" s="1109"/>
      <c r="D35" s="787"/>
      <c r="E35" s="1111"/>
      <c r="F35" s="1107"/>
      <c r="G35" s="1108"/>
      <c r="H35" s="1108"/>
      <c r="I35" s="1108"/>
      <c r="J35" s="1117"/>
      <c r="K35" s="791"/>
      <c r="L35" s="683" t="s">
        <v>45</v>
      </c>
      <c r="M35" s="622"/>
      <c r="N35" s="1108"/>
      <c r="O35" s="1108"/>
      <c r="P35" s="1125"/>
    </row>
    <row r="36" spans="1:16" ht="63" customHeight="1" x14ac:dyDescent="0.25">
      <c r="A36" s="1102"/>
      <c r="B36" s="1103"/>
      <c r="C36" s="1109"/>
      <c r="D36" s="787"/>
      <c r="E36" s="1111"/>
      <c r="F36" s="1107"/>
      <c r="G36" s="1108"/>
      <c r="H36" s="1108"/>
      <c r="I36" s="1108"/>
      <c r="J36" s="1117"/>
      <c r="K36" s="792"/>
      <c r="L36" s="683" t="s">
        <v>46</v>
      </c>
      <c r="M36" s="623"/>
      <c r="N36" s="1108"/>
      <c r="O36" s="1108"/>
      <c r="P36" s="1125"/>
    </row>
    <row r="37" spans="1:16" ht="63" customHeight="1" x14ac:dyDescent="0.25">
      <c r="A37" s="1102"/>
      <c r="B37" s="1103"/>
      <c r="C37" s="759"/>
      <c r="D37" s="787"/>
      <c r="E37" s="737"/>
      <c r="F37" s="740"/>
      <c r="G37" s="737"/>
      <c r="H37" s="737"/>
      <c r="I37" s="737"/>
      <c r="J37" s="796"/>
      <c r="K37" s="1106"/>
      <c r="L37" s="684" t="s">
        <v>44</v>
      </c>
      <c r="M37" s="576"/>
      <c r="N37" s="737"/>
      <c r="O37" s="724"/>
      <c r="P37" s="782"/>
    </row>
    <row r="38" spans="1:16" ht="63" customHeight="1" x14ac:dyDescent="0.25">
      <c r="A38" s="1102"/>
      <c r="B38" s="1103"/>
      <c r="C38" s="760"/>
      <c r="D38" s="787"/>
      <c r="E38" s="737"/>
      <c r="F38" s="737"/>
      <c r="G38" s="737"/>
      <c r="H38" s="737"/>
      <c r="I38" s="737"/>
      <c r="J38" s="796"/>
      <c r="K38" s="791"/>
      <c r="L38" s="685" t="s">
        <v>45</v>
      </c>
      <c r="M38" s="577"/>
      <c r="N38" s="737"/>
      <c r="O38" s="724"/>
      <c r="P38" s="783"/>
    </row>
    <row r="39" spans="1:16" ht="63" customHeight="1" x14ac:dyDescent="0.25">
      <c r="A39" s="1104"/>
      <c r="B39" s="1105"/>
      <c r="C39" s="761"/>
      <c r="D39" s="787"/>
      <c r="E39" s="737"/>
      <c r="F39" s="737"/>
      <c r="G39" s="737"/>
      <c r="H39" s="737"/>
      <c r="I39" s="737"/>
      <c r="J39" s="796"/>
      <c r="K39" s="792"/>
      <c r="L39" s="685" t="s">
        <v>46</v>
      </c>
      <c r="M39" s="578"/>
      <c r="N39" s="737"/>
      <c r="O39" s="724"/>
      <c r="P39" s="783"/>
    </row>
    <row r="40" spans="1:16" ht="33.75" customHeight="1" x14ac:dyDescent="0.25"/>
  </sheetData>
  <mergeCells count="115">
    <mergeCell ref="P34:P36"/>
    <mergeCell ref="P37:P39"/>
    <mergeCell ref="A3:P3"/>
    <mergeCell ref="P5:P9"/>
    <mergeCell ref="P10:P12"/>
    <mergeCell ref="P13:P15"/>
    <mergeCell ref="P16:P18"/>
    <mergeCell ref="P19:P21"/>
    <mergeCell ref="P22:P24"/>
    <mergeCell ref="P25:P27"/>
    <mergeCell ref="P28:P30"/>
    <mergeCell ref="P31:P33"/>
    <mergeCell ref="C25:C27"/>
    <mergeCell ref="C22:C24"/>
    <mergeCell ref="D22:D24"/>
    <mergeCell ref="E22:E24"/>
    <mergeCell ref="F22:F24"/>
    <mergeCell ref="G22:I24"/>
    <mergeCell ref="J22:J24"/>
    <mergeCell ref="K22:K24"/>
    <mergeCell ref="N22:N24"/>
    <mergeCell ref="C19:C21"/>
    <mergeCell ref="D19:D21"/>
    <mergeCell ref="E19:E21"/>
    <mergeCell ref="F19:F21"/>
    <mergeCell ref="G19:I21"/>
    <mergeCell ref="J19:J21"/>
    <mergeCell ref="K19:K21"/>
    <mergeCell ref="N19:N21"/>
    <mergeCell ref="O19:O21"/>
    <mergeCell ref="C16:C18"/>
    <mergeCell ref="D16:D18"/>
    <mergeCell ref="E16:E18"/>
    <mergeCell ref="F16:F18"/>
    <mergeCell ref="E13:E15"/>
    <mergeCell ref="F13:F15"/>
    <mergeCell ref="O16:O18"/>
    <mergeCell ref="E10:E12"/>
    <mergeCell ref="F10:F12"/>
    <mergeCell ref="J13:J15"/>
    <mergeCell ref="O10:O12"/>
    <mergeCell ref="C13:C15"/>
    <mergeCell ref="D13:D15"/>
    <mergeCell ref="G10:I12"/>
    <mergeCell ref="J10:J12"/>
    <mergeCell ref="N10:N12"/>
    <mergeCell ref="G16:I18"/>
    <mergeCell ref="J16:J18"/>
    <mergeCell ref="K16:K18"/>
    <mergeCell ref="N16:N18"/>
    <mergeCell ref="K13:K15"/>
    <mergeCell ref="N13:N15"/>
    <mergeCell ref="G13:I15"/>
    <mergeCell ref="A2:D2"/>
    <mergeCell ref="A5:B9"/>
    <mergeCell ref="C5:C9"/>
    <mergeCell ref="D5:D9"/>
    <mergeCell ref="E5:E9"/>
    <mergeCell ref="F5:F9"/>
    <mergeCell ref="G5:I5"/>
    <mergeCell ref="J5:J9"/>
    <mergeCell ref="K5:K9"/>
    <mergeCell ref="L5:M5"/>
    <mergeCell ref="N5:N9"/>
    <mergeCell ref="O5:O9"/>
    <mergeCell ref="K31:K33"/>
    <mergeCell ref="N31:N33"/>
    <mergeCell ref="O31:O33"/>
    <mergeCell ref="G34:I36"/>
    <mergeCell ref="J34:J36"/>
    <mergeCell ref="K34:K36"/>
    <mergeCell ref="N34:N36"/>
    <mergeCell ref="O34:O36"/>
    <mergeCell ref="O13:O15"/>
    <mergeCell ref="O28:O30"/>
    <mergeCell ref="O25:O27"/>
    <mergeCell ref="G28:I30"/>
    <mergeCell ref="J28:J30"/>
    <mergeCell ref="K28:K30"/>
    <mergeCell ref="N28:N30"/>
    <mergeCell ref="O22:O24"/>
    <mergeCell ref="K10:K12"/>
    <mergeCell ref="D34:D36"/>
    <mergeCell ref="E34:E36"/>
    <mergeCell ref="D25:D27"/>
    <mergeCell ref="E25:E27"/>
    <mergeCell ref="F25:F27"/>
    <mergeCell ref="G25:I27"/>
    <mergeCell ref="J25:J27"/>
    <mergeCell ref="G31:I33"/>
    <mergeCell ref="J31:J33"/>
    <mergeCell ref="A10:B39"/>
    <mergeCell ref="J37:J39"/>
    <mergeCell ref="K37:K39"/>
    <mergeCell ref="N37:N39"/>
    <mergeCell ref="O37:O39"/>
    <mergeCell ref="C37:C39"/>
    <mergeCell ref="D37:D39"/>
    <mergeCell ref="E37:E39"/>
    <mergeCell ref="F37:F39"/>
    <mergeCell ref="G37:I39"/>
    <mergeCell ref="F34:F36"/>
    <mergeCell ref="K25:K27"/>
    <mergeCell ref="N25:N27"/>
    <mergeCell ref="C28:C30"/>
    <mergeCell ref="D28:D30"/>
    <mergeCell ref="E28:E30"/>
    <mergeCell ref="F28:F30"/>
    <mergeCell ref="C10:C12"/>
    <mergeCell ref="D10:D12"/>
    <mergeCell ref="C31:C33"/>
    <mergeCell ref="D31:D33"/>
    <mergeCell ref="E31:E33"/>
    <mergeCell ref="F31:F33"/>
    <mergeCell ref="C34:C36"/>
  </mergeCells>
  <conditionalFormatting sqref="P10:P12">
    <cfRule type="cellIs" dxfId="13" priority="5" operator="between">
      <formula>0.7</formula>
      <formula>0.94</formula>
    </cfRule>
    <cfRule type="cellIs" dxfId="12" priority="6" operator="greaterThan">
      <formula>94</formula>
    </cfRule>
  </conditionalFormatting>
  <conditionalFormatting sqref="P13:P15">
    <cfRule type="cellIs" dxfId="11" priority="2" operator="between">
      <formula>0.7</formula>
      <formula>0.94</formula>
    </cfRule>
    <cfRule type="cellIs" dxfId="10" priority="3" operator="greaterThan">
      <formula>94</formula>
    </cfRule>
  </conditionalFormatting>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08
Hoja 7. Indicadores Proceso Gestión del Talento Humano
Página &amp;P de &amp;N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rgb="FFFF0000"/>
  </sheetPr>
  <dimension ref="A1:O190"/>
  <sheetViews>
    <sheetView showGridLines="0" topLeftCell="F108" zoomScale="70" zoomScaleNormal="70" workbookViewId="0">
      <selection activeCell="H182" sqref="H182:O182"/>
    </sheetView>
  </sheetViews>
  <sheetFormatPr baseColWidth="10" defaultColWidth="11.453125" defaultRowHeight="13.5" x14ac:dyDescent="0.25"/>
  <cols>
    <col min="1" max="2" width="24.08984375" style="2" customWidth="1"/>
    <col min="3" max="3" width="20.453125" style="2" customWidth="1"/>
    <col min="4" max="4" width="21.54296875" style="2" customWidth="1"/>
    <col min="5" max="5" width="22.36328125" style="2" customWidth="1"/>
    <col min="6" max="6" width="27" style="2" customWidth="1"/>
    <col min="7" max="7" width="29.54296875" style="2" customWidth="1"/>
    <col min="8" max="8" width="37.90625" style="2" customWidth="1"/>
    <col min="9" max="10" width="30.08984375" style="2" customWidth="1"/>
    <col min="11" max="11" width="28.453125" style="2" customWidth="1"/>
    <col min="12" max="12" width="32.36328125" style="2" customWidth="1"/>
    <col min="13" max="13" width="69.90625" style="2" customWidth="1"/>
    <col min="14" max="14" width="47.90625" style="2" customWidth="1"/>
    <col min="15" max="15" width="66.08984375" style="2" customWidth="1"/>
    <col min="16" max="16384" width="11.453125" style="2"/>
  </cols>
  <sheetData>
    <row r="1" spans="1:15" ht="64.5" customHeight="1" x14ac:dyDescent="0.25">
      <c r="A1" s="744"/>
      <c r="B1" s="744"/>
      <c r="C1" s="744"/>
      <c r="D1" s="744"/>
      <c r="E1" s="9"/>
      <c r="F1" s="9"/>
      <c r="G1" s="9"/>
      <c r="H1" s="9"/>
      <c r="I1" s="9"/>
      <c r="J1" s="9"/>
      <c r="K1" s="9"/>
      <c r="L1" s="9"/>
      <c r="M1" s="9"/>
      <c r="N1" s="9"/>
      <c r="O1" s="9"/>
    </row>
    <row r="2" spans="1:15" ht="27.75" customHeight="1" x14ac:dyDescent="0.25">
      <c r="A2" s="1172" t="s">
        <v>23</v>
      </c>
      <c r="B2" s="1173"/>
      <c r="C2" s="1173"/>
      <c r="D2" s="1173"/>
      <c r="E2" s="1173"/>
      <c r="F2" s="1173"/>
      <c r="G2" s="1173"/>
      <c r="H2" s="1173"/>
      <c r="I2" s="1173"/>
      <c r="J2" s="1173"/>
      <c r="K2" s="1173"/>
      <c r="L2" s="1173"/>
      <c r="M2" s="1173"/>
      <c r="N2" s="1173"/>
      <c r="O2" s="1174"/>
    </row>
    <row r="4" spans="1:15" s="4" customFormat="1" ht="41.25" customHeight="1" x14ac:dyDescent="0.35">
      <c r="A4" s="1175" t="s">
        <v>0</v>
      </c>
      <c r="B4" s="1175"/>
      <c r="C4" s="1175" t="s">
        <v>26</v>
      </c>
      <c r="D4" s="1175" t="s">
        <v>1</v>
      </c>
      <c r="E4" s="1175" t="s">
        <v>2</v>
      </c>
      <c r="F4" s="1175" t="s">
        <v>3</v>
      </c>
      <c r="G4" s="1175" t="s">
        <v>33</v>
      </c>
      <c r="H4" s="1175"/>
      <c r="I4" s="1175"/>
      <c r="J4" s="1176" t="s">
        <v>4</v>
      </c>
      <c r="K4" s="1176" t="s">
        <v>5</v>
      </c>
      <c r="L4" s="1178" t="s">
        <v>49</v>
      </c>
      <c r="M4" s="1179"/>
      <c r="N4" s="1176" t="s">
        <v>6</v>
      </c>
      <c r="O4" s="1176" t="s">
        <v>7</v>
      </c>
    </row>
    <row r="5" spans="1:15" s="4" customFormat="1" ht="36" customHeight="1" x14ac:dyDescent="0.35">
      <c r="A5" s="1175"/>
      <c r="B5" s="1175"/>
      <c r="C5" s="1175"/>
      <c r="D5" s="1175"/>
      <c r="E5" s="1175"/>
      <c r="F5" s="1175"/>
      <c r="G5" s="21" t="s">
        <v>31</v>
      </c>
      <c r="H5" s="21" t="s">
        <v>32</v>
      </c>
      <c r="I5" s="21" t="s">
        <v>43</v>
      </c>
      <c r="J5" s="1177"/>
      <c r="K5" s="1177"/>
      <c r="L5" s="21" t="s">
        <v>47</v>
      </c>
      <c r="M5" s="21" t="s">
        <v>48</v>
      </c>
      <c r="N5" s="1177"/>
      <c r="O5" s="1177"/>
    </row>
    <row r="6" spans="1:15" s="4" customFormat="1" ht="40.5" x14ac:dyDescent="0.35">
      <c r="A6" s="1175"/>
      <c r="B6" s="1175"/>
      <c r="C6" s="1175"/>
      <c r="D6" s="1175"/>
      <c r="E6" s="1175"/>
      <c r="F6" s="1175"/>
      <c r="G6" s="14" t="s">
        <v>35</v>
      </c>
      <c r="H6" s="15" t="s">
        <v>37</v>
      </c>
      <c r="I6" s="14" t="s">
        <v>40</v>
      </c>
      <c r="J6" s="1177"/>
      <c r="K6" s="1177"/>
      <c r="L6" s="11" t="s">
        <v>44</v>
      </c>
      <c r="M6" s="15" t="s">
        <v>52</v>
      </c>
      <c r="N6" s="1177"/>
      <c r="O6" s="1177"/>
    </row>
    <row r="7" spans="1:15" s="4" customFormat="1" ht="40.5" x14ac:dyDescent="0.35">
      <c r="A7" s="1175"/>
      <c r="B7" s="1175"/>
      <c r="C7" s="1175"/>
      <c r="D7" s="1175"/>
      <c r="E7" s="1175"/>
      <c r="F7" s="1175"/>
      <c r="G7" s="14" t="s">
        <v>34</v>
      </c>
      <c r="H7" s="15" t="s">
        <v>38</v>
      </c>
      <c r="I7" s="14" t="s">
        <v>41</v>
      </c>
      <c r="J7" s="1177"/>
      <c r="K7" s="1177"/>
      <c r="L7" s="10" t="s">
        <v>45</v>
      </c>
      <c r="M7" s="15" t="s">
        <v>50</v>
      </c>
      <c r="N7" s="1177"/>
      <c r="O7" s="1177"/>
    </row>
    <row r="8" spans="1:15" s="4" customFormat="1" ht="40.5" x14ac:dyDescent="0.35">
      <c r="A8" s="1176"/>
      <c r="B8" s="1176"/>
      <c r="C8" s="1176"/>
      <c r="D8" s="1176"/>
      <c r="E8" s="1176"/>
      <c r="F8" s="1176"/>
      <c r="G8" s="109" t="s">
        <v>36</v>
      </c>
      <c r="H8" s="96" t="s">
        <v>39</v>
      </c>
      <c r="I8" s="109" t="s">
        <v>42</v>
      </c>
      <c r="J8" s="1177"/>
      <c r="K8" s="1177"/>
      <c r="L8" s="42" t="s">
        <v>46</v>
      </c>
      <c r="M8" s="96" t="s">
        <v>51</v>
      </c>
      <c r="N8" s="1177"/>
      <c r="O8" s="1177"/>
    </row>
    <row r="9" spans="1:15" ht="100.5" customHeight="1" x14ac:dyDescent="0.25">
      <c r="A9" s="1180" t="s">
        <v>224</v>
      </c>
      <c r="B9" s="1181"/>
      <c r="C9" s="829" t="s">
        <v>53</v>
      </c>
      <c r="D9" s="1168" t="s">
        <v>225</v>
      </c>
      <c r="E9" s="839" t="s">
        <v>226</v>
      </c>
      <c r="F9" s="1053" t="s">
        <v>227</v>
      </c>
      <c r="G9" s="829" t="s">
        <v>34</v>
      </c>
      <c r="H9" s="829"/>
      <c r="I9" s="829"/>
      <c r="J9" s="1053" t="s">
        <v>55</v>
      </c>
      <c r="K9" s="1171" t="s">
        <v>70</v>
      </c>
      <c r="L9" s="97" t="s">
        <v>44</v>
      </c>
      <c r="M9" s="227" t="s">
        <v>70</v>
      </c>
      <c r="N9" s="829" t="s">
        <v>228</v>
      </c>
      <c r="O9" s="829" t="s">
        <v>172</v>
      </c>
    </row>
    <row r="10" spans="1:15" ht="100.5" customHeight="1" x14ac:dyDescent="0.25">
      <c r="A10" s="1182"/>
      <c r="B10" s="1183"/>
      <c r="C10" s="829"/>
      <c r="D10" s="1168"/>
      <c r="E10" s="839"/>
      <c r="F10" s="1053"/>
      <c r="G10" s="829"/>
      <c r="H10" s="829"/>
      <c r="I10" s="829"/>
      <c r="J10" s="1053"/>
      <c r="K10" s="1171"/>
      <c r="L10" s="97" t="s">
        <v>45</v>
      </c>
      <c r="M10" s="228" t="s">
        <v>229</v>
      </c>
      <c r="N10" s="829"/>
      <c r="O10" s="829"/>
    </row>
    <row r="11" spans="1:15" ht="100.5" customHeight="1" x14ac:dyDescent="0.25">
      <c r="A11" s="1182"/>
      <c r="B11" s="1183"/>
      <c r="C11" s="829"/>
      <c r="D11" s="1168"/>
      <c r="E11" s="839"/>
      <c r="F11" s="1053"/>
      <c r="G11" s="829"/>
      <c r="H11" s="829"/>
      <c r="I11" s="829"/>
      <c r="J11" s="1053"/>
      <c r="K11" s="1171"/>
      <c r="L11" s="97" t="s">
        <v>46</v>
      </c>
      <c r="M11" s="229" t="s">
        <v>230</v>
      </c>
      <c r="N11" s="829"/>
      <c r="O11" s="829"/>
    </row>
    <row r="12" spans="1:15" ht="63" customHeight="1" x14ac:dyDescent="0.25">
      <c r="A12" s="1182"/>
      <c r="B12" s="1183"/>
      <c r="C12" s="829" t="s">
        <v>67</v>
      </c>
      <c r="D12" s="1168" t="s">
        <v>231</v>
      </c>
      <c r="E12" s="839" t="s">
        <v>232</v>
      </c>
      <c r="F12" s="1053" t="s">
        <v>233</v>
      </c>
      <c r="G12" s="829" t="s">
        <v>34</v>
      </c>
      <c r="H12" s="829"/>
      <c r="I12" s="829"/>
      <c r="J12" s="1053" t="s">
        <v>55</v>
      </c>
      <c r="K12" s="1170" t="s">
        <v>234</v>
      </c>
      <c r="L12" s="97" t="s">
        <v>44</v>
      </c>
      <c r="M12" s="230" t="s">
        <v>234</v>
      </c>
      <c r="N12" s="829" t="s">
        <v>228</v>
      </c>
      <c r="O12" s="829" t="s">
        <v>172</v>
      </c>
    </row>
    <row r="13" spans="1:15" ht="63" customHeight="1" x14ac:dyDescent="0.25">
      <c r="A13" s="1182"/>
      <c r="B13" s="1183"/>
      <c r="C13" s="829"/>
      <c r="D13" s="1168"/>
      <c r="E13" s="839"/>
      <c r="F13" s="1053"/>
      <c r="G13" s="829"/>
      <c r="H13" s="829"/>
      <c r="I13" s="829"/>
      <c r="J13" s="1053"/>
      <c r="K13" s="1170"/>
      <c r="L13" s="97" t="s">
        <v>45</v>
      </c>
      <c r="M13" s="228" t="s">
        <v>235</v>
      </c>
      <c r="N13" s="829"/>
      <c r="O13" s="829"/>
    </row>
    <row r="14" spans="1:15" ht="63" customHeight="1" x14ac:dyDescent="0.25">
      <c r="A14" s="1182"/>
      <c r="B14" s="1183"/>
      <c r="C14" s="829"/>
      <c r="D14" s="1168"/>
      <c r="E14" s="839"/>
      <c r="F14" s="1053"/>
      <c r="G14" s="829"/>
      <c r="H14" s="829"/>
      <c r="I14" s="829"/>
      <c r="J14" s="1053"/>
      <c r="K14" s="1170"/>
      <c r="L14" s="97" t="s">
        <v>46</v>
      </c>
      <c r="M14" s="229" t="s">
        <v>61</v>
      </c>
      <c r="N14" s="829"/>
      <c r="O14" s="829"/>
    </row>
    <row r="15" spans="1:15" ht="64.5" customHeight="1" x14ac:dyDescent="0.25">
      <c r="A15" s="1182"/>
      <c r="B15" s="1183"/>
      <c r="C15" s="829" t="s">
        <v>67</v>
      </c>
      <c r="D15" s="1168" t="s">
        <v>826</v>
      </c>
      <c r="E15" s="829" t="s">
        <v>236</v>
      </c>
      <c r="F15" s="1053" t="s">
        <v>237</v>
      </c>
      <c r="G15" s="829" t="s">
        <v>34</v>
      </c>
      <c r="H15" s="829"/>
      <c r="I15" s="829"/>
      <c r="J15" s="1053" t="s">
        <v>63</v>
      </c>
      <c r="K15" s="852" t="s">
        <v>65</v>
      </c>
      <c r="L15" s="97" t="s">
        <v>44</v>
      </c>
      <c r="M15" s="231" t="s">
        <v>65</v>
      </c>
      <c r="N15" s="829" t="s">
        <v>228</v>
      </c>
      <c r="O15" s="829" t="s">
        <v>172</v>
      </c>
    </row>
    <row r="16" spans="1:15" ht="64.5" customHeight="1" x14ac:dyDescent="0.25">
      <c r="A16" s="1182"/>
      <c r="B16" s="1183"/>
      <c r="C16" s="829"/>
      <c r="D16" s="1168"/>
      <c r="E16" s="829"/>
      <c r="F16" s="1053"/>
      <c r="G16" s="829"/>
      <c r="H16" s="829"/>
      <c r="I16" s="829"/>
      <c r="J16" s="1053"/>
      <c r="K16" s="852"/>
      <c r="L16" s="97" t="s">
        <v>45</v>
      </c>
      <c r="M16" s="232" t="s">
        <v>66</v>
      </c>
      <c r="N16" s="829"/>
      <c r="O16" s="829"/>
    </row>
    <row r="17" spans="1:15" ht="69.75" customHeight="1" x14ac:dyDescent="0.25">
      <c r="A17" s="1182"/>
      <c r="B17" s="1183"/>
      <c r="C17" s="829"/>
      <c r="D17" s="1168"/>
      <c r="E17" s="829"/>
      <c r="F17" s="1053"/>
      <c r="G17" s="829"/>
      <c r="H17" s="829"/>
      <c r="I17" s="829"/>
      <c r="J17" s="1053"/>
      <c r="K17" s="852"/>
      <c r="L17" s="97" t="s">
        <v>46</v>
      </c>
      <c r="M17" s="233" t="s">
        <v>61</v>
      </c>
      <c r="N17" s="1169"/>
      <c r="O17" s="1169"/>
    </row>
    <row r="18" spans="1:15" ht="74.25" customHeight="1" x14ac:dyDescent="0.25">
      <c r="A18" s="1182"/>
      <c r="B18" s="1183"/>
      <c r="C18" s="829" t="s">
        <v>67</v>
      </c>
      <c r="D18" s="851" t="s">
        <v>716</v>
      </c>
      <c r="E18" s="852" t="s">
        <v>717</v>
      </c>
      <c r="F18" s="852" t="s">
        <v>718</v>
      </c>
      <c r="G18" s="829" t="s">
        <v>34</v>
      </c>
      <c r="H18" s="829"/>
      <c r="I18" s="829"/>
      <c r="J18" s="852" t="s">
        <v>63</v>
      </c>
      <c r="K18" s="852" t="s">
        <v>719</v>
      </c>
      <c r="L18" s="97" t="s">
        <v>44</v>
      </c>
      <c r="M18" s="231" t="s">
        <v>720</v>
      </c>
      <c r="N18" s="829" t="s">
        <v>228</v>
      </c>
      <c r="O18" s="829" t="s">
        <v>172</v>
      </c>
    </row>
    <row r="19" spans="1:15" ht="74.25" customHeight="1" x14ac:dyDescent="0.25">
      <c r="A19" s="1182"/>
      <c r="B19" s="1183"/>
      <c r="C19" s="829"/>
      <c r="D19" s="851"/>
      <c r="E19" s="852"/>
      <c r="F19" s="852"/>
      <c r="G19" s="829"/>
      <c r="H19" s="829"/>
      <c r="I19" s="829"/>
      <c r="J19" s="852"/>
      <c r="K19" s="852"/>
      <c r="L19" s="97" t="s">
        <v>45</v>
      </c>
      <c r="M19" s="232" t="s">
        <v>721</v>
      </c>
      <c r="N19" s="829"/>
      <c r="O19" s="829"/>
    </row>
    <row r="20" spans="1:15" ht="49.5" customHeight="1" x14ac:dyDescent="0.25">
      <c r="A20" s="1182"/>
      <c r="B20" s="1183"/>
      <c r="C20" s="829" t="s">
        <v>67</v>
      </c>
      <c r="D20" s="1168" t="s">
        <v>722</v>
      </c>
      <c r="E20" s="829" t="s">
        <v>723</v>
      </c>
      <c r="F20" s="1053" t="s">
        <v>724</v>
      </c>
      <c r="G20" s="829" t="s">
        <v>34</v>
      </c>
      <c r="H20" s="829"/>
      <c r="I20" s="829"/>
      <c r="J20" s="1053" t="s">
        <v>63</v>
      </c>
      <c r="K20" s="852" t="s">
        <v>727</v>
      </c>
      <c r="L20" s="97" t="s">
        <v>44</v>
      </c>
      <c r="M20" s="231" t="s">
        <v>697</v>
      </c>
      <c r="N20" s="829" t="s">
        <v>228</v>
      </c>
      <c r="O20" s="829" t="s">
        <v>172</v>
      </c>
    </row>
    <row r="21" spans="1:15" ht="45" customHeight="1" x14ac:dyDescent="0.25">
      <c r="A21" s="1182"/>
      <c r="B21" s="1183"/>
      <c r="C21" s="829"/>
      <c r="D21" s="1168"/>
      <c r="E21" s="829"/>
      <c r="F21" s="1053"/>
      <c r="G21" s="829"/>
      <c r="H21" s="829"/>
      <c r="I21" s="829"/>
      <c r="J21" s="1053"/>
      <c r="K21" s="852"/>
      <c r="L21" s="97" t="s">
        <v>45</v>
      </c>
      <c r="M21" s="232" t="s">
        <v>698</v>
      </c>
      <c r="N21" s="829"/>
      <c r="O21" s="829"/>
    </row>
    <row r="22" spans="1:15" ht="48.75" customHeight="1" x14ac:dyDescent="0.25">
      <c r="A22" s="1182"/>
      <c r="B22" s="1183"/>
      <c r="C22" s="829"/>
      <c r="D22" s="1168"/>
      <c r="E22" s="829"/>
      <c r="F22" s="1053"/>
      <c r="G22" s="829"/>
      <c r="H22" s="829"/>
      <c r="I22" s="829"/>
      <c r="J22" s="1053"/>
      <c r="K22" s="852"/>
      <c r="L22" s="97" t="s">
        <v>46</v>
      </c>
      <c r="M22" s="233" t="s">
        <v>75</v>
      </c>
      <c r="N22" s="829"/>
      <c r="O22" s="829"/>
    </row>
    <row r="23" spans="1:15" ht="51" customHeight="1" x14ac:dyDescent="0.25">
      <c r="A23" s="1182"/>
      <c r="B23" s="1183"/>
      <c r="C23" s="829" t="s">
        <v>67</v>
      </c>
      <c r="D23" s="1168" t="s">
        <v>725</v>
      </c>
      <c r="E23" s="829" t="s">
        <v>726</v>
      </c>
      <c r="F23" s="1053" t="s">
        <v>728</v>
      </c>
      <c r="G23" s="829" t="s">
        <v>34</v>
      </c>
      <c r="H23" s="829"/>
      <c r="I23" s="829"/>
      <c r="J23" s="1053" t="s">
        <v>63</v>
      </c>
      <c r="K23" s="852" t="s">
        <v>726</v>
      </c>
      <c r="L23" s="97" t="s">
        <v>44</v>
      </c>
      <c r="M23" s="231" t="s">
        <v>697</v>
      </c>
      <c r="N23" s="829" t="s">
        <v>228</v>
      </c>
      <c r="O23" s="829" t="s">
        <v>172</v>
      </c>
    </row>
    <row r="24" spans="1:15" ht="45.75" customHeight="1" x14ac:dyDescent="0.25">
      <c r="A24" s="1182"/>
      <c r="B24" s="1183"/>
      <c r="C24" s="829"/>
      <c r="D24" s="1168"/>
      <c r="E24" s="829"/>
      <c r="F24" s="1053"/>
      <c r="G24" s="829"/>
      <c r="H24" s="829"/>
      <c r="I24" s="829"/>
      <c r="J24" s="1053"/>
      <c r="K24" s="852"/>
      <c r="L24" s="97" t="s">
        <v>45</v>
      </c>
      <c r="M24" s="232" t="s">
        <v>698</v>
      </c>
      <c r="N24" s="829"/>
      <c r="O24" s="829"/>
    </row>
    <row r="25" spans="1:15" ht="38.25" customHeight="1" x14ac:dyDescent="0.25">
      <c r="A25" s="1184"/>
      <c r="B25" s="1185"/>
      <c r="C25" s="829"/>
      <c r="D25" s="1168"/>
      <c r="E25" s="829"/>
      <c r="F25" s="1053"/>
      <c r="G25" s="829"/>
      <c r="H25" s="829"/>
      <c r="I25" s="829"/>
      <c r="J25" s="1053"/>
      <c r="K25" s="852"/>
      <c r="L25" s="97" t="s">
        <v>46</v>
      </c>
      <c r="M25" s="233" t="s">
        <v>75</v>
      </c>
      <c r="N25" s="829"/>
      <c r="O25" s="829"/>
    </row>
    <row r="26" spans="1:15" ht="33.75" customHeight="1" x14ac:dyDescent="0.25"/>
    <row r="27" spans="1:15" ht="36.75" customHeight="1" x14ac:dyDescent="0.25">
      <c r="A27" s="1154" t="str">
        <f>+D9</f>
        <v>PORCENTAJE (%) DE ENCUESTAS DE SATISFACCIÓN DEL "PLAN ANUAL DE FORMACIÓN, CAPACITACIÓN, BIENESTAR SOCIAL E INCENTIVOS DEL PERSONAL" CALIFICADAS POR PARTE DE LOS FUNCIONARIOS CON UNA NOTA IGUAL O SUPERIOR A TRES PUNTO CINCO (3.5) SOBRE CINCO (5.0).</v>
      </c>
      <c r="B27" s="1155"/>
      <c r="C27" s="1155"/>
      <c r="D27" s="1155"/>
      <c r="E27" s="1155"/>
      <c r="F27" s="1155"/>
      <c r="G27" s="1155"/>
      <c r="H27" s="1155"/>
      <c r="I27" s="1155"/>
      <c r="J27" s="1155"/>
      <c r="K27" s="1155"/>
      <c r="L27" s="1155"/>
      <c r="M27" s="1155"/>
      <c r="N27" s="1155"/>
      <c r="O27" s="1156"/>
    </row>
    <row r="28" spans="1:15" ht="41.25" customHeight="1" x14ac:dyDescent="0.25">
      <c r="A28" s="5"/>
    </row>
    <row r="29" spans="1:15" ht="41.25" customHeight="1" x14ac:dyDescent="0.25">
      <c r="A29" s="26"/>
      <c r="G29" s="39">
        <v>2009</v>
      </c>
      <c r="H29" s="39">
        <v>2010</v>
      </c>
      <c r="I29" s="39">
        <v>2011</v>
      </c>
      <c r="J29" s="39">
        <v>2012</v>
      </c>
      <c r="K29" s="39">
        <v>2013</v>
      </c>
      <c r="L29" s="39">
        <v>2014</v>
      </c>
      <c r="M29" s="39">
        <v>2015</v>
      </c>
    </row>
    <row r="30" spans="1:15" ht="89.25" customHeight="1" x14ac:dyDescent="0.25">
      <c r="A30" s="856" t="s">
        <v>238</v>
      </c>
      <c r="B30" s="857"/>
      <c r="C30" s="857"/>
      <c r="D30" s="857"/>
      <c r="E30" s="857"/>
      <c r="F30" s="857"/>
      <c r="G30" s="27">
        <v>0.4</v>
      </c>
      <c r="H30" s="27">
        <v>0.54</v>
      </c>
      <c r="I30" s="27">
        <v>0.55000000000000004</v>
      </c>
      <c r="J30" s="27">
        <v>0.42</v>
      </c>
      <c r="K30" s="27">
        <v>0.46</v>
      </c>
      <c r="L30" s="27">
        <v>0.56000000000000005</v>
      </c>
      <c r="M30" s="27">
        <f>+K46</f>
        <v>0.61904761904761907</v>
      </c>
    </row>
    <row r="31" spans="1:15" ht="78" customHeight="1" x14ac:dyDescent="0.25">
      <c r="A31" s="856" t="s">
        <v>76</v>
      </c>
      <c r="B31" s="857"/>
      <c r="C31" s="857"/>
      <c r="D31" s="857"/>
      <c r="E31" s="857"/>
      <c r="F31" s="857"/>
      <c r="G31" s="27">
        <v>0.6</v>
      </c>
      <c r="H31" s="27">
        <v>0.6</v>
      </c>
      <c r="I31" s="27">
        <v>0.6</v>
      </c>
      <c r="J31" s="27">
        <v>0.6</v>
      </c>
      <c r="K31" s="27">
        <v>0.6</v>
      </c>
      <c r="L31" s="27">
        <v>0.6</v>
      </c>
      <c r="M31" s="27">
        <v>0.6</v>
      </c>
    </row>
    <row r="32" spans="1:15" ht="41.25" customHeight="1" x14ac:dyDescent="0.25">
      <c r="A32" s="5"/>
    </row>
    <row r="33" spans="1:15" ht="41.25" customHeight="1" x14ac:dyDescent="0.25">
      <c r="A33" s="5"/>
      <c r="B33" s="28"/>
      <c r="C33" s="28"/>
      <c r="D33" s="28"/>
      <c r="G33" s="1165" t="s">
        <v>77</v>
      </c>
      <c r="H33" s="1165"/>
      <c r="I33" s="1165" t="s">
        <v>78</v>
      </c>
      <c r="J33" s="1165"/>
      <c r="K33" s="1165"/>
      <c r="L33" s="1165" t="s">
        <v>79</v>
      </c>
      <c r="M33" s="1165"/>
      <c r="N33" s="1165"/>
      <c r="O33" s="1165"/>
    </row>
    <row r="34" spans="1:15" ht="308.25" customHeight="1" x14ac:dyDescent="0.25">
      <c r="A34" s="5"/>
      <c r="G34" s="1165"/>
      <c r="H34" s="1165"/>
      <c r="I34" s="98" t="s">
        <v>239</v>
      </c>
      <c r="J34" s="98" t="s">
        <v>240</v>
      </c>
      <c r="K34" s="98" t="s">
        <v>238</v>
      </c>
      <c r="L34" s="1165"/>
      <c r="M34" s="1165"/>
      <c r="N34" s="1165"/>
      <c r="O34" s="1165"/>
    </row>
    <row r="35" spans="1:15" ht="45" customHeight="1" x14ac:dyDescent="0.3">
      <c r="B35" s="29"/>
      <c r="C35" s="30"/>
      <c r="D35" s="30"/>
      <c r="G35" s="859">
        <v>2009</v>
      </c>
      <c r="H35" s="859"/>
      <c r="I35" s="45">
        <v>18</v>
      </c>
      <c r="J35" s="45">
        <v>45</v>
      </c>
      <c r="K35" s="60">
        <f t="shared" ref="K35:K43" si="0">+I35/J35</f>
        <v>0.4</v>
      </c>
      <c r="L35" s="873" t="s">
        <v>241</v>
      </c>
      <c r="M35" s="873"/>
      <c r="N35" s="873"/>
      <c r="O35" s="873"/>
    </row>
    <row r="36" spans="1:15" ht="45" customHeight="1" x14ac:dyDescent="0.3">
      <c r="B36" s="29"/>
      <c r="C36" s="30"/>
      <c r="D36" s="30"/>
      <c r="G36" s="859">
        <v>2010</v>
      </c>
      <c r="H36" s="859"/>
      <c r="I36" s="45">
        <v>25</v>
      </c>
      <c r="J36" s="45">
        <v>46</v>
      </c>
      <c r="K36" s="60">
        <f t="shared" si="0"/>
        <v>0.54347826086956519</v>
      </c>
      <c r="L36" s="873" t="s">
        <v>241</v>
      </c>
      <c r="M36" s="873"/>
      <c r="N36" s="873"/>
      <c r="O36" s="873"/>
    </row>
    <row r="37" spans="1:15" ht="45" customHeight="1" x14ac:dyDescent="0.3">
      <c r="B37" s="29"/>
      <c r="C37" s="30"/>
      <c r="D37" s="30"/>
      <c r="G37" s="859">
        <v>2011</v>
      </c>
      <c r="H37" s="859"/>
      <c r="I37" s="45">
        <v>21</v>
      </c>
      <c r="J37" s="45">
        <v>38</v>
      </c>
      <c r="K37" s="60">
        <f t="shared" si="0"/>
        <v>0.55263157894736847</v>
      </c>
      <c r="L37" s="873" t="s">
        <v>241</v>
      </c>
      <c r="M37" s="873"/>
      <c r="N37" s="873"/>
      <c r="O37" s="873"/>
    </row>
    <row r="38" spans="1:15" ht="45" customHeight="1" x14ac:dyDescent="0.3">
      <c r="B38" s="29"/>
      <c r="C38" s="30"/>
      <c r="D38" s="30"/>
      <c r="G38" s="859">
        <v>2012</v>
      </c>
      <c r="H38" s="859"/>
      <c r="I38" s="45">
        <v>25</v>
      </c>
      <c r="J38" s="45">
        <v>59</v>
      </c>
      <c r="K38" s="60">
        <f t="shared" si="0"/>
        <v>0.42372881355932202</v>
      </c>
      <c r="L38" s="873" t="s">
        <v>241</v>
      </c>
      <c r="M38" s="873"/>
      <c r="N38" s="873"/>
      <c r="O38" s="873"/>
    </row>
    <row r="39" spans="1:15" ht="212.25" customHeight="1" x14ac:dyDescent="0.3">
      <c r="B39" s="29"/>
      <c r="C39" s="30"/>
      <c r="D39" s="30"/>
      <c r="G39" s="880">
        <v>2013</v>
      </c>
      <c r="H39" s="880"/>
      <c r="I39" s="100">
        <v>33</v>
      </c>
      <c r="J39" s="100">
        <v>71</v>
      </c>
      <c r="K39" s="101">
        <f t="shared" si="0"/>
        <v>0.46478873239436619</v>
      </c>
      <c r="L39" s="1195" t="s">
        <v>524</v>
      </c>
      <c r="M39" s="1195"/>
      <c r="N39" s="1195"/>
      <c r="O39" s="1195"/>
    </row>
    <row r="40" spans="1:15" ht="257.25" customHeight="1" x14ac:dyDescent="0.3">
      <c r="B40" s="29"/>
      <c r="C40" s="30"/>
      <c r="D40" s="30"/>
      <c r="G40" s="1020"/>
      <c r="H40" s="1021"/>
      <c r="I40" s="104"/>
      <c r="J40" s="104"/>
      <c r="K40" s="105"/>
      <c r="L40" s="1009" t="s">
        <v>525</v>
      </c>
      <c r="M40" s="1010"/>
      <c r="N40" s="1010"/>
      <c r="O40" s="1011"/>
    </row>
    <row r="41" spans="1:15" ht="154.5" customHeight="1" x14ac:dyDescent="0.3">
      <c r="B41" s="29"/>
      <c r="C41" s="30"/>
      <c r="D41" s="30"/>
      <c r="G41" s="859">
        <v>2014</v>
      </c>
      <c r="H41" s="45" t="s">
        <v>141</v>
      </c>
      <c r="I41" s="45">
        <v>28</v>
      </c>
      <c r="J41" s="45">
        <v>50</v>
      </c>
      <c r="K41" s="60">
        <f t="shared" si="0"/>
        <v>0.56000000000000005</v>
      </c>
      <c r="L41" s="993" t="s">
        <v>548</v>
      </c>
      <c r="M41" s="994"/>
      <c r="N41" s="994"/>
      <c r="O41" s="995"/>
    </row>
    <row r="42" spans="1:15" ht="69" customHeight="1" x14ac:dyDescent="0.3">
      <c r="B42" s="29"/>
      <c r="C42" s="30"/>
      <c r="D42" s="30"/>
      <c r="G42" s="859"/>
      <c r="H42" s="45" t="s">
        <v>142</v>
      </c>
      <c r="I42" s="45"/>
      <c r="J42" s="45"/>
      <c r="K42" s="60" t="e">
        <f t="shared" si="0"/>
        <v>#DIV/0!</v>
      </c>
      <c r="L42" s="1166"/>
      <c r="M42" s="1167"/>
      <c r="N42" s="1167"/>
      <c r="O42" s="1167"/>
    </row>
    <row r="43" spans="1:15" ht="45" customHeight="1" x14ac:dyDescent="0.3">
      <c r="B43" s="29"/>
      <c r="C43" s="30"/>
      <c r="D43" s="30"/>
      <c r="G43" s="859"/>
      <c r="H43" s="45" t="s">
        <v>81</v>
      </c>
      <c r="I43" s="45">
        <f>SUM(I41:I42)</f>
        <v>28</v>
      </c>
      <c r="J43" s="45">
        <f>SUM(J41:J42)</f>
        <v>50</v>
      </c>
      <c r="K43" s="60">
        <f t="shared" si="0"/>
        <v>0.56000000000000005</v>
      </c>
      <c r="L43" s="1167"/>
      <c r="M43" s="1167"/>
      <c r="N43" s="1167"/>
      <c r="O43" s="1167"/>
    </row>
    <row r="44" spans="1:15" ht="132.75" customHeight="1" x14ac:dyDescent="0.3">
      <c r="B44" s="29"/>
      <c r="C44" s="30"/>
      <c r="D44" s="30"/>
      <c r="G44" s="859">
        <v>2015</v>
      </c>
      <c r="H44" s="45" t="s">
        <v>141</v>
      </c>
      <c r="I44" s="45">
        <v>26</v>
      </c>
      <c r="J44" s="45">
        <v>42</v>
      </c>
      <c r="K44" s="60">
        <f>+I44/J44</f>
        <v>0.61904761904761907</v>
      </c>
      <c r="L44" s="993" t="s">
        <v>815</v>
      </c>
      <c r="M44" s="994"/>
      <c r="N44" s="994"/>
      <c r="O44" s="995"/>
    </row>
    <row r="45" spans="1:15" ht="45" customHeight="1" x14ac:dyDescent="0.3">
      <c r="B45" s="29"/>
      <c r="C45" s="30"/>
      <c r="D45" s="30"/>
      <c r="G45" s="859"/>
      <c r="H45" s="45" t="s">
        <v>142</v>
      </c>
      <c r="I45" s="45"/>
      <c r="J45" s="45"/>
      <c r="K45" s="60" t="e">
        <f>+I45/J45</f>
        <v>#DIV/0!</v>
      </c>
      <c r="L45" s="1167"/>
      <c r="M45" s="1167"/>
      <c r="N45" s="1167"/>
      <c r="O45" s="1167"/>
    </row>
    <row r="46" spans="1:15" ht="45" customHeight="1" x14ac:dyDescent="0.3">
      <c r="B46" s="29"/>
      <c r="C46" s="30"/>
      <c r="D46" s="30"/>
      <c r="G46" s="859"/>
      <c r="H46" s="45" t="s">
        <v>81</v>
      </c>
      <c r="I46" s="45">
        <f>SUM(I44:I45)</f>
        <v>26</v>
      </c>
      <c r="J46" s="45">
        <f>SUM(J44:J45)</f>
        <v>42</v>
      </c>
      <c r="K46" s="60">
        <f>+I46/J46</f>
        <v>0.61904761904761907</v>
      </c>
      <c r="L46" s="1167"/>
      <c r="M46" s="1167"/>
      <c r="N46" s="1167"/>
      <c r="O46" s="1167"/>
    </row>
    <row r="47" spans="1:15" ht="15" x14ac:dyDescent="0.3">
      <c r="B47" s="29"/>
      <c r="C47" s="30"/>
      <c r="D47" s="30"/>
    </row>
    <row r="48" spans="1:15" ht="32.25" customHeight="1" x14ac:dyDescent="0.25">
      <c r="A48" s="1154" t="str">
        <f>+D12</f>
        <v>PORCENTAJE (%) DE ACTIVIDADES DE FORMACIÓN Y/O CAPACITACIÓN DE PERSONAL CUMPLIDAS EFICAZMENTE.</v>
      </c>
      <c r="B48" s="1155"/>
      <c r="C48" s="1155"/>
      <c r="D48" s="1155"/>
      <c r="E48" s="1155"/>
      <c r="F48" s="1155"/>
      <c r="G48" s="1155"/>
      <c r="H48" s="1155"/>
      <c r="I48" s="1155"/>
      <c r="J48" s="1155"/>
      <c r="K48" s="1155"/>
      <c r="L48" s="1155"/>
      <c r="M48" s="1155"/>
      <c r="N48" s="1155"/>
      <c r="O48" s="1156"/>
    </row>
    <row r="49" spans="1:15" x14ac:dyDescent="0.25">
      <c r="A49" s="5"/>
    </row>
    <row r="50" spans="1:15" ht="49.5" customHeight="1" x14ac:dyDescent="0.25">
      <c r="A50" s="26"/>
      <c r="G50" s="39">
        <v>2011</v>
      </c>
      <c r="H50" s="39">
        <v>2012</v>
      </c>
      <c r="I50" s="39">
        <v>2013</v>
      </c>
      <c r="J50" s="39">
        <v>2014</v>
      </c>
      <c r="K50" s="39">
        <v>2015</v>
      </c>
    </row>
    <row r="51" spans="1:15" ht="49.5" customHeight="1" x14ac:dyDescent="0.25">
      <c r="A51" s="856" t="s">
        <v>242</v>
      </c>
      <c r="B51" s="857"/>
      <c r="C51" s="857"/>
      <c r="D51" s="857"/>
      <c r="E51" s="857"/>
      <c r="F51" s="857"/>
      <c r="G51" s="149">
        <v>0.94699999999999995</v>
      </c>
      <c r="H51" s="149">
        <v>0.91</v>
      </c>
      <c r="I51" s="149">
        <v>0.91</v>
      </c>
      <c r="J51" s="176">
        <v>0.41</v>
      </c>
      <c r="K51" s="176">
        <f>+J136</f>
        <v>0.72222222222222221</v>
      </c>
    </row>
    <row r="52" spans="1:15" ht="49.5" customHeight="1" x14ac:dyDescent="0.25">
      <c r="A52" s="856" t="s">
        <v>76</v>
      </c>
      <c r="B52" s="857"/>
      <c r="C52" s="857"/>
      <c r="D52" s="857"/>
      <c r="E52" s="857"/>
      <c r="F52" s="857"/>
      <c r="G52" s="27">
        <v>0.92</v>
      </c>
      <c r="H52" s="27">
        <v>0.92</v>
      </c>
      <c r="I52" s="27">
        <v>0.92</v>
      </c>
      <c r="J52" s="27">
        <v>0.92</v>
      </c>
      <c r="K52" s="27">
        <v>0.92</v>
      </c>
    </row>
    <row r="53" spans="1:15" x14ac:dyDescent="0.25">
      <c r="A53" s="5"/>
    </row>
    <row r="54" spans="1:15" ht="17.5" x14ac:dyDescent="0.25">
      <c r="A54" s="5"/>
      <c r="B54" s="28"/>
      <c r="C54" s="28"/>
      <c r="D54" s="28"/>
      <c r="G54" s="1165" t="s">
        <v>77</v>
      </c>
      <c r="H54" s="1165" t="s">
        <v>78</v>
      </c>
      <c r="I54" s="1165"/>
      <c r="J54" s="1165"/>
      <c r="K54" s="1165" t="s">
        <v>79</v>
      </c>
      <c r="L54" s="1165"/>
      <c r="M54" s="1165"/>
      <c r="N54" s="1165"/>
      <c r="O54" s="1165"/>
    </row>
    <row r="55" spans="1:15" ht="105" x14ac:dyDescent="0.25">
      <c r="A55" s="5"/>
      <c r="G55" s="1165"/>
      <c r="H55" s="99" t="s">
        <v>243</v>
      </c>
      <c r="I55" s="99" t="s">
        <v>244</v>
      </c>
      <c r="J55" s="99" t="s">
        <v>242</v>
      </c>
      <c r="K55" s="1165"/>
      <c r="L55" s="1165"/>
      <c r="M55" s="1165"/>
      <c r="N55" s="1165"/>
      <c r="O55" s="1165"/>
    </row>
    <row r="56" spans="1:15" ht="142.5" customHeight="1" x14ac:dyDescent="0.3">
      <c r="B56" s="29"/>
      <c r="C56" s="30"/>
      <c r="D56" s="30"/>
      <c r="G56" s="61">
        <v>2011</v>
      </c>
      <c r="H56" s="873" t="s">
        <v>245</v>
      </c>
      <c r="I56" s="873"/>
      <c r="J56" s="873"/>
      <c r="K56" s="873" t="s">
        <v>246</v>
      </c>
      <c r="L56" s="873"/>
      <c r="M56" s="873"/>
      <c r="N56" s="873"/>
      <c r="O56" s="873"/>
    </row>
    <row r="57" spans="1:15" ht="159" customHeight="1" x14ac:dyDescent="0.3">
      <c r="B57" s="29"/>
      <c r="C57" s="30"/>
      <c r="D57" s="30"/>
      <c r="G57" s="61">
        <v>2012</v>
      </c>
      <c r="H57" s="873" t="s">
        <v>247</v>
      </c>
      <c r="I57" s="873"/>
      <c r="J57" s="873"/>
      <c r="K57" s="873" t="s">
        <v>248</v>
      </c>
      <c r="L57" s="873"/>
      <c r="M57" s="873"/>
      <c r="N57" s="873"/>
      <c r="O57" s="873"/>
    </row>
    <row r="58" spans="1:15" ht="150.75" customHeight="1" x14ac:dyDescent="0.3">
      <c r="B58" s="29"/>
      <c r="C58" s="30"/>
      <c r="D58" s="30"/>
      <c r="G58" s="61">
        <v>2013</v>
      </c>
      <c r="H58" s="45">
        <v>29</v>
      </c>
      <c r="I58" s="45">
        <v>32</v>
      </c>
      <c r="J58" s="60">
        <f>+H58/I58</f>
        <v>0.90625</v>
      </c>
      <c r="K58" s="996" t="s">
        <v>249</v>
      </c>
      <c r="L58" s="996"/>
      <c r="M58" s="996"/>
      <c r="N58" s="996"/>
      <c r="O58" s="996"/>
    </row>
    <row r="59" spans="1:15" ht="15" x14ac:dyDescent="0.3">
      <c r="B59" s="29"/>
      <c r="C59" s="30"/>
      <c r="D59" s="30"/>
      <c r="G59" s="880">
        <v>2014</v>
      </c>
      <c r="H59" s="1159">
        <v>25</v>
      </c>
      <c r="I59" s="1159">
        <v>61</v>
      </c>
      <c r="J59" s="1162">
        <f>+H59/I59</f>
        <v>0.4098360655737705</v>
      </c>
      <c r="K59" s="1151" t="s">
        <v>250</v>
      </c>
      <c r="L59" s="1153"/>
      <c r="M59" s="102" t="s">
        <v>251</v>
      </c>
      <c r="N59" s="1151" t="s">
        <v>252</v>
      </c>
      <c r="O59" s="1153"/>
    </row>
    <row r="60" spans="1:15" ht="15" x14ac:dyDescent="0.3">
      <c r="B60" s="29"/>
      <c r="C60" s="30"/>
      <c r="D60" s="30"/>
      <c r="G60" s="881"/>
      <c r="H60" s="1160"/>
      <c r="I60" s="1160"/>
      <c r="J60" s="1163"/>
      <c r="K60" s="1151" t="s">
        <v>253</v>
      </c>
      <c r="L60" s="1152"/>
      <c r="M60" s="1152"/>
      <c r="N60" s="1152"/>
      <c r="O60" s="1153"/>
    </row>
    <row r="61" spans="1:15" ht="141.75" customHeight="1" x14ac:dyDescent="0.3">
      <c r="B61" s="29"/>
      <c r="C61" s="30"/>
      <c r="D61" s="30"/>
      <c r="G61" s="881"/>
      <c r="H61" s="1160"/>
      <c r="I61" s="1160"/>
      <c r="J61" s="1163"/>
      <c r="K61" s="1137" t="s">
        <v>254</v>
      </c>
      <c r="L61" s="1138"/>
      <c r="M61" s="103" t="s">
        <v>255</v>
      </c>
      <c r="N61" s="103" t="s">
        <v>571</v>
      </c>
      <c r="O61" s="133" t="s">
        <v>572</v>
      </c>
    </row>
    <row r="62" spans="1:15" ht="51.75" customHeight="1" x14ac:dyDescent="0.3">
      <c r="B62" s="29"/>
      <c r="C62" s="30"/>
      <c r="D62" s="30"/>
      <c r="G62" s="881"/>
      <c r="H62" s="1160"/>
      <c r="I62" s="1160"/>
      <c r="J62" s="1163"/>
      <c r="K62" s="1137" t="s">
        <v>256</v>
      </c>
      <c r="L62" s="1138"/>
      <c r="M62" s="103" t="s">
        <v>549</v>
      </c>
      <c r="N62" s="103" t="s">
        <v>573</v>
      </c>
      <c r="O62" s="134" t="s">
        <v>573</v>
      </c>
    </row>
    <row r="63" spans="1:15" ht="98.25" customHeight="1" x14ac:dyDescent="0.3">
      <c r="B63" s="29"/>
      <c r="C63" s="30"/>
      <c r="D63" s="30"/>
      <c r="G63" s="881"/>
      <c r="H63" s="1160"/>
      <c r="I63" s="1160"/>
      <c r="J63" s="1163"/>
      <c r="K63" s="1137" t="s">
        <v>257</v>
      </c>
      <c r="L63" s="1138"/>
      <c r="M63" s="103" t="s">
        <v>258</v>
      </c>
      <c r="N63" s="103" t="s">
        <v>574</v>
      </c>
      <c r="O63" s="133" t="s">
        <v>575</v>
      </c>
    </row>
    <row r="64" spans="1:15" ht="367.5" customHeight="1" x14ac:dyDescent="0.3">
      <c r="B64" s="29"/>
      <c r="C64" s="30"/>
      <c r="D64" s="30"/>
      <c r="G64" s="881"/>
      <c r="H64" s="1160"/>
      <c r="I64" s="1160"/>
      <c r="J64" s="1163"/>
      <c r="K64" s="1137" t="s">
        <v>259</v>
      </c>
      <c r="L64" s="1138"/>
      <c r="M64" s="103" t="s">
        <v>260</v>
      </c>
      <c r="N64" s="103" t="s">
        <v>577</v>
      </c>
      <c r="O64" s="175" t="s">
        <v>576</v>
      </c>
    </row>
    <row r="65" spans="2:15" ht="409.5" customHeight="1" x14ac:dyDescent="0.3">
      <c r="B65" s="29"/>
      <c r="C65" s="30"/>
      <c r="D65" s="30"/>
      <c r="G65" s="881"/>
      <c r="H65" s="1160"/>
      <c r="I65" s="1160"/>
      <c r="J65" s="1163"/>
      <c r="K65" s="1137" t="s">
        <v>261</v>
      </c>
      <c r="L65" s="1138"/>
      <c r="M65" s="103" t="s">
        <v>262</v>
      </c>
      <c r="N65" s="103" t="s">
        <v>578</v>
      </c>
      <c r="O65" s="133" t="s">
        <v>579</v>
      </c>
    </row>
    <row r="66" spans="2:15" ht="54.75" customHeight="1" x14ac:dyDescent="0.3">
      <c r="B66" s="29"/>
      <c r="C66" s="30"/>
      <c r="D66" s="30"/>
      <c r="G66" s="881"/>
      <c r="H66" s="1160"/>
      <c r="I66" s="1160"/>
      <c r="J66" s="1163"/>
      <c r="K66" s="1151" t="s">
        <v>263</v>
      </c>
      <c r="L66" s="1152"/>
      <c r="M66" s="1152"/>
      <c r="N66" s="1152"/>
      <c r="O66" s="1153"/>
    </row>
    <row r="67" spans="2:15" ht="117" customHeight="1" x14ac:dyDescent="0.3">
      <c r="B67" s="29"/>
      <c r="C67" s="30"/>
      <c r="D67" s="30"/>
      <c r="G67" s="881"/>
      <c r="H67" s="1160"/>
      <c r="I67" s="1160"/>
      <c r="J67" s="1163"/>
      <c r="K67" s="1137" t="s">
        <v>264</v>
      </c>
      <c r="L67" s="1138"/>
      <c r="M67" s="103" t="s">
        <v>265</v>
      </c>
      <c r="N67" s="103" t="s">
        <v>580</v>
      </c>
      <c r="O67" s="133" t="s">
        <v>581</v>
      </c>
    </row>
    <row r="68" spans="2:15" ht="291" customHeight="1" x14ac:dyDescent="0.3">
      <c r="B68" s="29"/>
      <c r="C68" s="30"/>
      <c r="D68" s="30"/>
      <c r="G68" s="881"/>
      <c r="H68" s="1160"/>
      <c r="I68" s="1160"/>
      <c r="J68" s="1163"/>
      <c r="K68" s="1137" t="s">
        <v>266</v>
      </c>
      <c r="L68" s="1138"/>
      <c r="M68" s="103" t="s">
        <v>267</v>
      </c>
      <c r="N68" s="103" t="s">
        <v>582</v>
      </c>
      <c r="O68" s="175" t="s">
        <v>583</v>
      </c>
    </row>
    <row r="69" spans="2:15" ht="73.5" customHeight="1" x14ac:dyDescent="0.3">
      <c r="B69" s="29"/>
      <c r="C69" s="30"/>
      <c r="D69" s="30"/>
      <c r="G69" s="881"/>
      <c r="H69" s="1160"/>
      <c r="I69" s="1160"/>
      <c r="J69" s="1163"/>
      <c r="K69" s="1137" t="s">
        <v>268</v>
      </c>
      <c r="L69" s="1138"/>
      <c r="M69" s="103" t="s">
        <v>262</v>
      </c>
      <c r="N69" s="103" t="s">
        <v>584</v>
      </c>
      <c r="O69" s="133" t="s">
        <v>585</v>
      </c>
    </row>
    <row r="70" spans="2:15" ht="47.25" customHeight="1" x14ac:dyDescent="0.3">
      <c r="B70" s="29"/>
      <c r="C70" s="30"/>
      <c r="D70" s="30"/>
      <c r="G70" s="881"/>
      <c r="H70" s="1160"/>
      <c r="I70" s="1160"/>
      <c r="J70" s="1163"/>
      <c r="K70" s="1149" t="s">
        <v>598</v>
      </c>
      <c r="L70" s="1149"/>
      <c r="M70" s="1150" t="s">
        <v>599</v>
      </c>
      <c r="N70" s="1150"/>
      <c r="O70" s="1150"/>
    </row>
    <row r="71" spans="2:15" ht="54.75" customHeight="1" x14ac:dyDescent="0.3">
      <c r="B71" s="29"/>
      <c r="C71" s="30"/>
      <c r="D71" s="30"/>
      <c r="G71" s="881"/>
      <c r="H71" s="1160"/>
      <c r="I71" s="1160"/>
      <c r="J71" s="1163"/>
      <c r="K71" s="1151" t="s">
        <v>269</v>
      </c>
      <c r="L71" s="1152"/>
      <c r="M71" s="1152"/>
      <c r="N71" s="1152"/>
      <c r="O71" s="1153"/>
    </row>
    <row r="72" spans="2:15" ht="54.75" customHeight="1" x14ac:dyDescent="0.3">
      <c r="B72" s="29"/>
      <c r="C72" s="30"/>
      <c r="D72" s="30"/>
      <c r="G72" s="881"/>
      <c r="H72" s="1160"/>
      <c r="I72" s="1160"/>
      <c r="J72" s="1163"/>
      <c r="K72" s="1137" t="s">
        <v>270</v>
      </c>
      <c r="L72" s="1138"/>
      <c r="M72" s="103" t="s">
        <v>271</v>
      </c>
      <c r="N72" s="103" t="s">
        <v>573</v>
      </c>
      <c r="O72" s="134" t="s">
        <v>573</v>
      </c>
    </row>
    <row r="73" spans="2:15" ht="54.75" customHeight="1" x14ac:dyDescent="0.3">
      <c r="B73" s="29"/>
      <c r="C73" s="30"/>
      <c r="D73" s="30"/>
      <c r="G73" s="881"/>
      <c r="H73" s="1160"/>
      <c r="I73" s="1160"/>
      <c r="J73" s="1163"/>
      <c r="K73" s="1137" t="s">
        <v>272</v>
      </c>
      <c r="L73" s="1138"/>
      <c r="M73" s="103" t="s">
        <v>273</v>
      </c>
      <c r="N73" s="103" t="s">
        <v>573</v>
      </c>
      <c r="O73" s="134" t="s">
        <v>573</v>
      </c>
    </row>
    <row r="74" spans="2:15" ht="54.75" customHeight="1" x14ac:dyDescent="0.3">
      <c r="B74" s="29"/>
      <c r="C74" s="30"/>
      <c r="D74" s="30"/>
      <c r="G74" s="881"/>
      <c r="H74" s="1160"/>
      <c r="I74" s="1160"/>
      <c r="J74" s="1163"/>
      <c r="K74" s="1137" t="s">
        <v>274</v>
      </c>
      <c r="L74" s="1138"/>
      <c r="M74" s="103" t="s">
        <v>275</v>
      </c>
      <c r="N74" s="103" t="s">
        <v>586</v>
      </c>
      <c r="O74" s="175" t="s">
        <v>587</v>
      </c>
    </row>
    <row r="75" spans="2:15" ht="54.75" customHeight="1" x14ac:dyDescent="0.3">
      <c r="B75" s="29"/>
      <c r="C75" s="30"/>
      <c r="D75" s="30"/>
      <c r="G75" s="881"/>
      <c r="H75" s="1160"/>
      <c r="I75" s="1160"/>
      <c r="J75" s="1163"/>
      <c r="K75" s="1137" t="s">
        <v>276</v>
      </c>
      <c r="L75" s="1138"/>
      <c r="M75" s="103" t="s">
        <v>277</v>
      </c>
      <c r="N75" s="103" t="s">
        <v>588</v>
      </c>
      <c r="O75" s="175" t="s">
        <v>589</v>
      </c>
    </row>
    <row r="76" spans="2:15" ht="45" customHeight="1" x14ac:dyDescent="0.3">
      <c r="B76" s="29"/>
      <c r="C76" s="30"/>
      <c r="D76" s="30"/>
      <c r="G76" s="881"/>
      <c r="H76" s="1160"/>
      <c r="I76" s="1160"/>
      <c r="J76" s="1163"/>
      <c r="K76" s="1149" t="s">
        <v>598</v>
      </c>
      <c r="L76" s="1149"/>
      <c r="M76" s="1150" t="s">
        <v>601</v>
      </c>
      <c r="N76" s="1150"/>
      <c r="O76" s="1150"/>
    </row>
    <row r="77" spans="2:15" ht="54.75" customHeight="1" x14ac:dyDescent="0.3">
      <c r="B77" s="29"/>
      <c r="C77" s="30"/>
      <c r="D77" s="30"/>
      <c r="G77" s="881"/>
      <c r="H77" s="1160"/>
      <c r="I77" s="1160"/>
      <c r="J77" s="1163"/>
      <c r="K77" s="1151" t="s">
        <v>278</v>
      </c>
      <c r="L77" s="1152"/>
      <c r="M77" s="1152"/>
      <c r="N77" s="1152"/>
      <c r="O77" s="1153"/>
    </row>
    <row r="78" spans="2:15" ht="135" customHeight="1" x14ac:dyDescent="0.3">
      <c r="B78" s="29"/>
      <c r="C78" s="30"/>
      <c r="D78" s="30"/>
      <c r="G78" s="881"/>
      <c r="H78" s="1160"/>
      <c r="I78" s="1160"/>
      <c r="J78" s="1163"/>
      <c r="K78" s="1137" t="s">
        <v>279</v>
      </c>
      <c r="L78" s="1138"/>
      <c r="M78" s="103" t="s">
        <v>280</v>
      </c>
      <c r="N78" s="103" t="s">
        <v>590</v>
      </c>
      <c r="O78" s="133" t="s">
        <v>591</v>
      </c>
    </row>
    <row r="79" spans="2:15" ht="54.75" customHeight="1" x14ac:dyDescent="0.3">
      <c r="B79" s="29"/>
      <c r="C79" s="30"/>
      <c r="D79" s="30"/>
      <c r="G79" s="881"/>
      <c r="H79" s="1160"/>
      <c r="I79" s="1160"/>
      <c r="J79" s="1163"/>
      <c r="K79" s="1137" t="s">
        <v>281</v>
      </c>
      <c r="L79" s="1138"/>
      <c r="M79" s="103" t="s">
        <v>282</v>
      </c>
      <c r="N79" s="103" t="s">
        <v>573</v>
      </c>
      <c r="O79" s="134" t="s">
        <v>573</v>
      </c>
    </row>
    <row r="80" spans="2:15" ht="326.25" customHeight="1" x14ac:dyDescent="0.3">
      <c r="B80" s="29"/>
      <c r="C80" s="30"/>
      <c r="D80" s="30"/>
      <c r="G80" s="881"/>
      <c r="H80" s="1160"/>
      <c r="I80" s="1160"/>
      <c r="J80" s="1163"/>
      <c r="K80" s="1137" t="s">
        <v>283</v>
      </c>
      <c r="L80" s="1138"/>
      <c r="M80" s="103" t="s">
        <v>284</v>
      </c>
      <c r="N80" s="103" t="s">
        <v>592</v>
      </c>
      <c r="O80" s="175" t="s">
        <v>593</v>
      </c>
    </row>
    <row r="81" spans="2:15" ht="88.5" customHeight="1" x14ac:dyDescent="0.3">
      <c r="B81" s="29"/>
      <c r="C81" s="30"/>
      <c r="D81" s="30"/>
      <c r="G81" s="881"/>
      <c r="H81" s="1160"/>
      <c r="I81" s="1160"/>
      <c r="J81" s="1163"/>
      <c r="K81" s="1137" t="s">
        <v>285</v>
      </c>
      <c r="L81" s="1138"/>
      <c r="M81" s="103" t="s">
        <v>286</v>
      </c>
      <c r="N81" s="103" t="s">
        <v>594</v>
      </c>
      <c r="O81" s="133" t="s">
        <v>595</v>
      </c>
    </row>
    <row r="82" spans="2:15" ht="54.75" customHeight="1" x14ac:dyDescent="0.3">
      <c r="B82" s="29"/>
      <c r="C82" s="30"/>
      <c r="D82" s="30"/>
      <c r="G82" s="881"/>
      <c r="H82" s="1160"/>
      <c r="I82" s="1160"/>
      <c r="J82" s="1163"/>
      <c r="K82" s="1137" t="s">
        <v>287</v>
      </c>
      <c r="L82" s="1138"/>
      <c r="M82" s="103" t="s">
        <v>288</v>
      </c>
      <c r="N82" s="103" t="s">
        <v>596</v>
      </c>
      <c r="O82" s="175" t="s">
        <v>597</v>
      </c>
    </row>
    <row r="83" spans="2:15" ht="60" customHeight="1" x14ac:dyDescent="0.3">
      <c r="B83" s="29"/>
      <c r="C83" s="30"/>
      <c r="D83" s="30"/>
      <c r="G83" s="881"/>
      <c r="H83" s="1160"/>
      <c r="I83" s="1160"/>
      <c r="J83" s="1163"/>
      <c r="K83" s="1149" t="s">
        <v>598</v>
      </c>
      <c r="L83" s="1149"/>
      <c r="M83" s="1150" t="s">
        <v>600</v>
      </c>
      <c r="N83" s="1150"/>
      <c r="O83" s="1150"/>
    </row>
    <row r="84" spans="2:15" ht="54.75" customHeight="1" x14ac:dyDescent="0.3">
      <c r="B84" s="29"/>
      <c r="C84" s="30"/>
      <c r="D84" s="30"/>
      <c r="G84" s="881"/>
      <c r="H84" s="1160"/>
      <c r="I84" s="1160"/>
      <c r="J84" s="1163"/>
      <c r="K84" s="1151" t="s">
        <v>289</v>
      </c>
      <c r="L84" s="1152"/>
      <c r="M84" s="1152"/>
      <c r="N84" s="1152"/>
      <c r="O84" s="1153"/>
    </row>
    <row r="85" spans="2:15" ht="54.75" customHeight="1" x14ac:dyDescent="0.3">
      <c r="B85" s="29"/>
      <c r="C85" s="30"/>
      <c r="D85" s="30"/>
      <c r="G85" s="881"/>
      <c r="H85" s="1160"/>
      <c r="I85" s="1160"/>
      <c r="J85" s="1163"/>
      <c r="K85" s="1137" t="s">
        <v>290</v>
      </c>
      <c r="L85" s="1138"/>
      <c r="M85" s="103" t="s">
        <v>291</v>
      </c>
      <c r="N85" s="103" t="s">
        <v>573</v>
      </c>
      <c r="O85" s="134" t="s">
        <v>573</v>
      </c>
    </row>
    <row r="86" spans="2:15" ht="54.75" customHeight="1" x14ac:dyDescent="0.3">
      <c r="B86" s="29"/>
      <c r="C86" s="30"/>
      <c r="D86" s="30"/>
      <c r="G86" s="881"/>
      <c r="H86" s="1160"/>
      <c r="I86" s="1160"/>
      <c r="J86" s="1163"/>
      <c r="K86" s="1137" t="s">
        <v>292</v>
      </c>
      <c r="L86" s="1138"/>
      <c r="M86" s="103" t="s">
        <v>293</v>
      </c>
      <c r="N86" s="103" t="s">
        <v>573</v>
      </c>
      <c r="O86" s="134" t="s">
        <v>573</v>
      </c>
    </row>
    <row r="87" spans="2:15" ht="283.5" customHeight="1" x14ac:dyDescent="0.3">
      <c r="B87" s="29"/>
      <c r="C87" s="30"/>
      <c r="D87" s="30"/>
      <c r="G87" s="881"/>
      <c r="H87" s="1160"/>
      <c r="I87" s="1160"/>
      <c r="J87" s="1163"/>
      <c r="K87" s="1137" t="s">
        <v>294</v>
      </c>
      <c r="L87" s="1138"/>
      <c r="M87" s="103" t="s">
        <v>295</v>
      </c>
      <c r="N87" s="103" t="s">
        <v>602</v>
      </c>
      <c r="O87" s="175" t="s">
        <v>603</v>
      </c>
    </row>
    <row r="88" spans="2:15" ht="290.25" customHeight="1" x14ac:dyDescent="0.3">
      <c r="B88" s="29"/>
      <c r="C88" s="30"/>
      <c r="D88" s="30"/>
      <c r="G88" s="881"/>
      <c r="H88" s="1160"/>
      <c r="I88" s="1160"/>
      <c r="J88" s="1163"/>
      <c r="K88" s="1137" t="s">
        <v>296</v>
      </c>
      <c r="L88" s="1138"/>
      <c r="M88" s="103" t="s">
        <v>297</v>
      </c>
      <c r="N88" s="103" t="s">
        <v>602</v>
      </c>
      <c r="O88" s="175" t="s">
        <v>604</v>
      </c>
    </row>
    <row r="89" spans="2:15" ht="54.75" customHeight="1" x14ac:dyDescent="0.3">
      <c r="B89" s="29"/>
      <c r="C89" s="30"/>
      <c r="D89" s="30"/>
      <c r="G89" s="881"/>
      <c r="H89" s="1160"/>
      <c r="I89" s="1160"/>
      <c r="J89" s="1163"/>
      <c r="K89" s="1137" t="s">
        <v>298</v>
      </c>
      <c r="L89" s="1138"/>
      <c r="M89" s="103" t="s">
        <v>299</v>
      </c>
      <c r="N89" s="103" t="s">
        <v>573</v>
      </c>
      <c r="O89" s="134" t="s">
        <v>573</v>
      </c>
    </row>
    <row r="90" spans="2:15" ht="141" customHeight="1" x14ac:dyDescent="0.3">
      <c r="B90" s="29"/>
      <c r="C90" s="30"/>
      <c r="D90" s="30"/>
      <c r="G90" s="881"/>
      <c r="H90" s="1160"/>
      <c r="I90" s="1160"/>
      <c r="J90" s="1163"/>
      <c r="K90" s="1137" t="s">
        <v>300</v>
      </c>
      <c r="L90" s="1138"/>
      <c r="M90" s="103" t="s">
        <v>284</v>
      </c>
      <c r="N90" s="103" t="s">
        <v>605</v>
      </c>
      <c r="O90" s="175" t="s">
        <v>606</v>
      </c>
    </row>
    <row r="91" spans="2:15" ht="146.25" customHeight="1" x14ac:dyDescent="0.3">
      <c r="B91" s="29"/>
      <c r="C91" s="30"/>
      <c r="D91" s="30"/>
      <c r="G91" s="881"/>
      <c r="H91" s="1160"/>
      <c r="I91" s="1160"/>
      <c r="J91" s="1163"/>
      <c r="K91" s="1137" t="s">
        <v>279</v>
      </c>
      <c r="L91" s="1138"/>
      <c r="M91" s="103" t="s">
        <v>280</v>
      </c>
      <c r="N91" s="103" t="s">
        <v>590</v>
      </c>
      <c r="O91" s="133" t="s">
        <v>607</v>
      </c>
    </row>
    <row r="92" spans="2:15" ht="105" customHeight="1" x14ac:dyDescent="0.3">
      <c r="B92" s="29"/>
      <c r="C92" s="30"/>
      <c r="D92" s="30"/>
      <c r="G92" s="881"/>
      <c r="H92" s="1160"/>
      <c r="I92" s="1160"/>
      <c r="J92" s="1163"/>
      <c r="K92" s="1137" t="s">
        <v>301</v>
      </c>
      <c r="L92" s="1138"/>
      <c r="M92" s="103" t="s">
        <v>302</v>
      </c>
      <c r="N92" s="103" t="s">
        <v>608</v>
      </c>
      <c r="O92" s="175" t="s">
        <v>609</v>
      </c>
    </row>
    <row r="93" spans="2:15" ht="54.75" customHeight="1" x14ac:dyDescent="0.3">
      <c r="B93" s="29"/>
      <c r="C93" s="30"/>
      <c r="D93" s="30"/>
      <c r="G93" s="881"/>
      <c r="H93" s="1160"/>
      <c r="I93" s="1160"/>
      <c r="J93" s="1163"/>
      <c r="K93" s="1137" t="s">
        <v>303</v>
      </c>
      <c r="L93" s="1138"/>
      <c r="M93" s="103" t="s">
        <v>304</v>
      </c>
      <c r="N93" s="103" t="s">
        <v>573</v>
      </c>
      <c r="O93" s="134" t="s">
        <v>573</v>
      </c>
    </row>
    <row r="94" spans="2:15" ht="84.75" customHeight="1" x14ac:dyDescent="0.3">
      <c r="B94" s="29"/>
      <c r="C94" s="30"/>
      <c r="D94" s="30"/>
      <c r="G94" s="881"/>
      <c r="H94" s="1160"/>
      <c r="I94" s="1160"/>
      <c r="J94" s="1163"/>
      <c r="K94" s="1137" t="s">
        <v>305</v>
      </c>
      <c r="L94" s="1138"/>
      <c r="M94" s="103" t="s">
        <v>288</v>
      </c>
      <c r="N94" s="103" t="s">
        <v>610</v>
      </c>
      <c r="O94" s="175" t="s">
        <v>611</v>
      </c>
    </row>
    <row r="95" spans="2:15" ht="142.5" customHeight="1" x14ac:dyDescent="0.3">
      <c r="B95" s="29"/>
      <c r="C95" s="30"/>
      <c r="D95" s="30"/>
      <c r="G95" s="881"/>
      <c r="H95" s="1160"/>
      <c r="I95" s="1160"/>
      <c r="J95" s="1163"/>
      <c r="K95" s="1137" t="s">
        <v>306</v>
      </c>
      <c r="L95" s="1138"/>
      <c r="M95" s="103" t="s">
        <v>307</v>
      </c>
      <c r="N95" s="103" t="s">
        <v>590</v>
      </c>
      <c r="O95" s="133" t="s">
        <v>607</v>
      </c>
    </row>
    <row r="96" spans="2:15" ht="185.25" customHeight="1" x14ac:dyDescent="0.3">
      <c r="B96" s="29"/>
      <c r="C96" s="30"/>
      <c r="D96" s="30"/>
      <c r="G96" s="881"/>
      <c r="H96" s="1160"/>
      <c r="I96" s="1160"/>
      <c r="J96" s="1163"/>
      <c r="K96" s="1137" t="s">
        <v>308</v>
      </c>
      <c r="L96" s="1138"/>
      <c r="M96" s="103" t="s">
        <v>304</v>
      </c>
      <c r="N96" s="103" t="s">
        <v>612</v>
      </c>
      <c r="O96" s="175" t="s">
        <v>613</v>
      </c>
    </row>
    <row r="97" spans="2:15" ht="91.5" customHeight="1" x14ac:dyDescent="0.3">
      <c r="B97" s="29"/>
      <c r="C97" s="30"/>
      <c r="D97" s="30"/>
      <c r="G97" s="881"/>
      <c r="H97" s="1160"/>
      <c r="I97" s="1160"/>
      <c r="J97" s="1163"/>
      <c r="K97" s="1137" t="s">
        <v>309</v>
      </c>
      <c r="L97" s="1138"/>
      <c r="M97" s="103" t="s">
        <v>304</v>
      </c>
      <c r="N97" s="103" t="s">
        <v>614</v>
      </c>
      <c r="O97" s="133" t="s">
        <v>613</v>
      </c>
    </row>
    <row r="98" spans="2:15" ht="54.75" customHeight="1" x14ac:dyDescent="0.3">
      <c r="B98" s="29"/>
      <c r="C98" s="30"/>
      <c r="D98" s="30"/>
      <c r="G98" s="881"/>
      <c r="H98" s="1160"/>
      <c r="I98" s="1160"/>
      <c r="J98" s="1163"/>
      <c r="K98" s="1137" t="s">
        <v>310</v>
      </c>
      <c r="L98" s="1138"/>
      <c r="M98" s="103" t="s">
        <v>311</v>
      </c>
      <c r="N98" s="103" t="s">
        <v>615</v>
      </c>
      <c r="O98" s="133" t="s">
        <v>616</v>
      </c>
    </row>
    <row r="99" spans="2:15" ht="243.75" customHeight="1" x14ac:dyDescent="0.3">
      <c r="B99" s="29"/>
      <c r="C99" s="30"/>
      <c r="D99" s="30"/>
      <c r="G99" s="881"/>
      <c r="H99" s="1160"/>
      <c r="I99" s="1160"/>
      <c r="J99" s="1163"/>
      <c r="K99" s="1149" t="s">
        <v>598</v>
      </c>
      <c r="L99" s="1149"/>
      <c r="M99" s="1150" t="s">
        <v>617</v>
      </c>
      <c r="N99" s="1150"/>
      <c r="O99" s="1150"/>
    </row>
    <row r="100" spans="2:15" ht="54.75" customHeight="1" x14ac:dyDescent="0.3">
      <c r="B100" s="29"/>
      <c r="C100" s="30"/>
      <c r="D100" s="30"/>
      <c r="G100" s="881"/>
      <c r="H100" s="1160"/>
      <c r="I100" s="1160"/>
      <c r="J100" s="1163"/>
      <c r="K100" s="1151" t="s">
        <v>618</v>
      </c>
      <c r="L100" s="1152"/>
      <c r="M100" s="1152"/>
      <c r="N100" s="1152"/>
      <c r="O100" s="1153"/>
    </row>
    <row r="101" spans="2:15" ht="305.25" customHeight="1" x14ac:dyDescent="0.3">
      <c r="B101" s="29"/>
      <c r="C101" s="30"/>
      <c r="D101" s="30"/>
      <c r="G101" s="881"/>
      <c r="H101" s="1160"/>
      <c r="I101" s="1160"/>
      <c r="J101" s="1163"/>
      <c r="K101" s="1137" t="s">
        <v>312</v>
      </c>
      <c r="L101" s="1138"/>
      <c r="M101" s="103" t="s">
        <v>313</v>
      </c>
      <c r="N101" s="103" t="s">
        <v>619</v>
      </c>
      <c r="O101" s="175" t="s">
        <v>620</v>
      </c>
    </row>
    <row r="102" spans="2:15" ht="54.75" customHeight="1" x14ac:dyDescent="0.3">
      <c r="B102" s="29"/>
      <c r="C102" s="30"/>
      <c r="D102" s="30"/>
      <c r="G102" s="881"/>
      <c r="H102" s="1160"/>
      <c r="I102" s="1160"/>
      <c r="J102" s="1163"/>
      <c r="K102" s="1137" t="s">
        <v>314</v>
      </c>
      <c r="L102" s="1138"/>
      <c r="M102" s="103" t="s">
        <v>315</v>
      </c>
      <c r="N102" s="103" t="s">
        <v>573</v>
      </c>
      <c r="O102" s="134" t="s">
        <v>573</v>
      </c>
    </row>
    <row r="103" spans="2:15" ht="116.25" customHeight="1" x14ac:dyDescent="0.3">
      <c r="B103" s="29"/>
      <c r="C103" s="30"/>
      <c r="D103" s="30"/>
      <c r="G103" s="881"/>
      <c r="H103" s="1160"/>
      <c r="I103" s="1160"/>
      <c r="J103" s="1163"/>
      <c r="K103" s="1137" t="s">
        <v>316</v>
      </c>
      <c r="L103" s="1138"/>
      <c r="M103" s="103" t="s">
        <v>317</v>
      </c>
      <c r="N103" s="103" t="s">
        <v>621</v>
      </c>
      <c r="O103" s="175" t="s">
        <v>622</v>
      </c>
    </row>
    <row r="104" spans="2:15" ht="54.75" customHeight="1" x14ac:dyDescent="0.3">
      <c r="B104" s="29"/>
      <c r="C104" s="30"/>
      <c r="D104" s="30"/>
      <c r="G104" s="881"/>
      <c r="H104" s="1160"/>
      <c r="I104" s="1160"/>
      <c r="J104" s="1163"/>
      <c r="K104" s="1151" t="s">
        <v>318</v>
      </c>
      <c r="L104" s="1152"/>
      <c r="M104" s="1152"/>
      <c r="N104" s="1152"/>
      <c r="O104" s="1153"/>
    </row>
    <row r="105" spans="2:15" ht="54.75" customHeight="1" x14ac:dyDescent="0.3">
      <c r="B105" s="29"/>
      <c r="C105" s="30"/>
      <c r="D105" s="30"/>
      <c r="G105" s="881"/>
      <c r="H105" s="1160"/>
      <c r="I105" s="1160"/>
      <c r="J105" s="1163"/>
      <c r="K105" s="1137" t="s">
        <v>319</v>
      </c>
      <c r="L105" s="1138"/>
      <c r="M105" s="103" t="s">
        <v>320</v>
      </c>
      <c r="N105" s="103" t="s">
        <v>573</v>
      </c>
      <c r="O105" s="134" t="s">
        <v>573</v>
      </c>
    </row>
    <row r="106" spans="2:15" ht="54.75" customHeight="1" x14ac:dyDescent="0.3">
      <c r="B106" s="29"/>
      <c r="C106" s="30"/>
      <c r="D106" s="30"/>
      <c r="G106" s="881"/>
      <c r="H106" s="1160"/>
      <c r="I106" s="1160"/>
      <c r="J106" s="1163"/>
      <c r="K106" s="1137" t="s">
        <v>321</v>
      </c>
      <c r="L106" s="1138"/>
      <c r="M106" s="103" t="s">
        <v>322</v>
      </c>
      <c r="N106" s="103" t="s">
        <v>573</v>
      </c>
      <c r="O106" s="134" t="s">
        <v>573</v>
      </c>
    </row>
    <row r="107" spans="2:15" ht="105" customHeight="1" x14ac:dyDescent="0.3">
      <c r="B107" s="29"/>
      <c r="C107" s="30"/>
      <c r="D107" s="30"/>
      <c r="G107" s="881"/>
      <c r="H107" s="1160"/>
      <c r="I107" s="1160"/>
      <c r="J107" s="1163"/>
      <c r="K107" s="1137" t="s">
        <v>323</v>
      </c>
      <c r="L107" s="1138"/>
      <c r="M107" s="103" t="s">
        <v>324</v>
      </c>
      <c r="N107" s="103" t="s">
        <v>623</v>
      </c>
      <c r="O107" s="175" t="s">
        <v>624</v>
      </c>
    </row>
    <row r="108" spans="2:15" ht="54.75" customHeight="1" x14ac:dyDescent="0.3">
      <c r="B108" s="29"/>
      <c r="C108" s="30"/>
      <c r="D108" s="30"/>
      <c r="G108" s="881"/>
      <c r="H108" s="1160"/>
      <c r="I108" s="1160"/>
      <c r="J108" s="1163"/>
      <c r="K108" s="1137" t="s">
        <v>325</v>
      </c>
      <c r="L108" s="1138"/>
      <c r="M108" s="103" t="s">
        <v>326</v>
      </c>
      <c r="N108" s="103" t="s">
        <v>573</v>
      </c>
      <c r="O108" s="134" t="s">
        <v>573</v>
      </c>
    </row>
    <row r="109" spans="2:15" ht="103.5" customHeight="1" x14ac:dyDescent="0.3">
      <c r="B109" s="29"/>
      <c r="C109" s="30"/>
      <c r="D109" s="30"/>
      <c r="G109" s="881"/>
      <c r="H109" s="1160"/>
      <c r="I109" s="1160"/>
      <c r="J109" s="1163"/>
      <c r="K109" s="1137" t="s">
        <v>327</v>
      </c>
      <c r="L109" s="1138"/>
      <c r="M109" s="103" t="s">
        <v>328</v>
      </c>
      <c r="N109" s="103" t="s">
        <v>625</v>
      </c>
      <c r="O109" s="133" t="s">
        <v>627</v>
      </c>
    </row>
    <row r="110" spans="2:15" ht="54.75" customHeight="1" x14ac:dyDescent="0.3">
      <c r="B110" s="29"/>
      <c r="C110" s="30"/>
      <c r="D110" s="30"/>
      <c r="G110" s="881"/>
      <c r="H110" s="1160"/>
      <c r="I110" s="1160"/>
      <c r="J110" s="1163"/>
      <c r="K110" s="1137" t="s">
        <v>329</v>
      </c>
      <c r="L110" s="1138"/>
      <c r="M110" s="103" t="s">
        <v>330</v>
      </c>
      <c r="N110" s="103" t="s">
        <v>626</v>
      </c>
      <c r="O110" s="133" t="s">
        <v>628</v>
      </c>
    </row>
    <row r="111" spans="2:15" ht="54.75" customHeight="1" x14ac:dyDescent="0.3">
      <c r="B111" s="29"/>
      <c r="C111" s="30"/>
      <c r="D111" s="30"/>
      <c r="G111" s="881"/>
      <c r="H111" s="1160"/>
      <c r="I111" s="1160"/>
      <c r="J111" s="1163"/>
      <c r="K111" s="1151" t="s">
        <v>331</v>
      </c>
      <c r="L111" s="1152"/>
      <c r="M111" s="1152"/>
      <c r="N111" s="1152"/>
      <c r="O111" s="1153"/>
    </row>
    <row r="112" spans="2:15" ht="108" customHeight="1" x14ac:dyDescent="0.3">
      <c r="B112" s="29"/>
      <c r="C112" s="30"/>
      <c r="D112" s="30"/>
      <c r="G112" s="881"/>
      <c r="H112" s="1160"/>
      <c r="I112" s="1160"/>
      <c r="J112" s="1163"/>
      <c r="K112" s="1137" t="s">
        <v>332</v>
      </c>
      <c r="L112" s="1138"/>
      <c r="M112" s="103" t="s">
        <v>284</v>
      </c>
      <c r="N112" s="103" t="s">
        <v>629</v>
      </c>
      <c r="O112" s="175" t="s">
        <v>606</v>
      </c>
    </row>
    <row r="113" spans="2:15" ht="54.75" customHeight="1" x14ac:dyDescent="0.3">
      <c r="B113" s="29"/>
      <c r="C113" s="30"/>
      <c r="D113" s="30"/>
      <c r="G113" s="881"/>
      <c r="H113" s="1160"/>
      <c r="I113" s="1160"/>
      <c r="J113" s="1163"/>
      <c r="K113" s="1137" t="s">
        <v>333</v>
      </c>
      <c r="L113" s="1138"/>
      <c r="M113" s="103" t="s">
        <v>295</v>
      </c>
      <c r="N113" s="103" t="s">
        <v>573</v>
      </c>
      <c r="O113" s="134" t="s">
        <v>573</v>
      </c>
    </row>
    <row r="114" spans="2:15" ht="54.75" customHeight="1" x14ac:dyDescent="0.3">
      <c r="B114" s="29"/>
      <c r="C114" s="30"/>
      <c r="D114" s="30"/>
      <c r="G114" s="881"/>
      <c r="H114" s="1160"/>
      <c r="I114" s="1160"/>
      <c r="J114" s="1163"/>
      <c r="K114" s="1137" t="s">
        <v>334</v>
      </c>
      <c r="L114" s="1138"/>
      <c r="M114" s="103" t="s">
        <v>335</v>
      </c>
      <c r="N114" s="103" t="s">
        <v>573</v>
      </c>
      <c r="O114" s="134" t="s">
        <v>573</v>
      </c>
    </row>
    <row r="115" spans="2:15" ht="75" customHeight="1" x14ac:dyDescent="0.3">
      <c r="B115" s="29"/>
      <c r="C115" s="30"/>
      <c r="D115" s="30"/>
      <c r="G115" s="881"/>
      <c r="H115" s="1160"/>
      <c r="I115" s="1160"/>
      <c r="J115" s="1163"/>
      <c r="K115" s="1137" t="s">
        <v>336</v>
      </c>
      <c r="L115" s="1138"/>
      <c r="M115" s="103" t="s">
        <v>330</v>
      </c>
      <c r="N115" s="103" t="s">
        <v>630</v>
      </c>
      <c r="O115" s="175" t="s">
        <v>631</v>
      </c>
    </row>
    <row r="116" spans="2:15" ht="54.75" customHeight="1" x14ac:dyDescent="0.3">
      <c r="B116" s="29"/>
      <c r="C116" s="30"/>
      <c r="D116" s="30"/>
      <c r="G116" s="881"/>
      <c r="H116" s="1160"/>
      <c r="I116" s="1160"/>
      <c r="J116" s="1163"/>
      <c r="K116" s="1151" t="s">
        <v>337</v>
      </c>
      <c r="L116" s="1152"/>
      <c r="M116" s="1152"/>
      <c r="N116" s="1152"/>
      <c r="O116" s="1153"/>
    </row>
    <row r="117" spans="2:15" ht="54.75" customHeight="1" x14ac:dyDescent="0.3">
      <c r="B117" s="29"/>
      <c r="C117" s="30"/>
      <c r="D117" s="30"/>
      <c r="G117" s="881"/>
      <c r="H117" s="1160"/>
      <c r="I117" s="1160"/>
      <c r="J117" s="1163"/>
      <c r="K117" s="1137" t="s">
        <v>338</v>
      </c>
      <c r="L117" s="1138"/>
      <c r="M117" s="103" t="s">
        <v>288</v>
      </c>
      <c r="N117" s="103" t="s">
        <v>573</v>
      </c>
      <c r="O117" s="134" t="s">
        <v>573</v>
      </c>
    </row>
    <row r="118" spans="2:15" ht="71.25" customHeight="1" x14ac:dyDescent="0.3">
      <c r="B118" s="29"/>
      <c r="C118" s="30"/>
      <c r="D118" s="30"/>
      <c r="G118" s="881"/>
      <c r="H118" s="1160"/>
      <c r="I118" s="1160"/>
      <c r="J118" s="1163"/>
      <c r="K118" s="1137" t="s">
        <v>336</v>
      </c>
      <c r="L118" s="1138"/>
      <c r="M118" s="103" t="s">
        <v>330</v>
      </c>
      <c r="N118" s="103" t="s">
        <v>632</v>
      </c>
      <c r="O118" s="175" t="s">
        <v>631</v>
      </c>
    </row>
    <row r="119" spans="2:15" ht="54.75" customHeight="1" x14ac:dyDescent="0.3">
      <c r="B119" s="29"/>
      <c r="C119" s="30"/>
      <c r="D119" s="30"/>
      <c r="G119" s="881"/>
      <c r="H119" s="1160"/>
      <c r="I119" s="1160"/>
      <c r="J119" s="1163"/>
      <c r="K119" s="1137" t="s">
        <v>339</v>
      </c>
      <c r="L119" s="1138"/>
      <c r="M119" s="103" t="s">
        <v>340</v>
      </c>
      <c r="N119" s="103" t="s">
        <v>632</v>
      </c>
      <c r="O119" s="175" t="s">
        <v>633</v>
      </c>
    </row>
    <row r="120" spans="2:15" ht="54.75" customHeight="1" x14ac:dyDescent="0.3">
      <c r="B120" s="29"/>
      <c r="C120" s="30"/>
      <c r="D120" s="30"/>
      <c r="G120" s="881"/>
      <c r="H120" s="1160"/>
      <c r="I120" s="1160"/>
      <c r="J120" s="1163"/>
      <c r="K120" s="1151" t="s">
        <v>341</v>
      </c>
      <c r="L120" s="1152"/>
      <c r="M120" s="1152"/>
      <c r="N120" s="1152"/>
      <c r="O120" s="1153"/>
    </row>
    <row r="121" spans="2:15" ht="54.75" customHeight="1" x14ac:dyDescent="0.3">
      <c r="B121" s="29"/>
      <c r="C121" s="30"/>
      <c r="D121" s="30"/>
      <c r="G121" s="881"/>
      <c r="H121" s="1160"/>
      <c r="I121" s="1160"/>
      <c r="J121" s="1163"/>
      <c r="K121" s="1137" t="s">
        <v>279</v>
      </c>
      <c r="L121" s="1138"/>
      <c r="M121" s="103" t="s">
        <v>280</v>
      </c>
      <c r="N121" s="103" t="s">
        <v>634</v>
      </c>
      <c r="O121" s="133" t="s">
        <v>607</v>
      </c>
    </row>
    <row r="122" spans="2:15" ht="54.75" customHeight="1" x14ac:dyDescent="0.3">
      <c r="B122" s="29"/>
      <c r="C122" s="30"/>
      <c r="D122" s="30"/>
      <c r="G122" s="881"/>
      <c r="H122" s="1160"/>
      <c r="I122" s="1160"/>
      <c r="J122" s="1163"/>
      <c r="K122" s="1137" t="s">
        <v>342</v>
      </c>
      <c r="L122" s="1138"/>
      <c r="M122" s="103" t="s">
        <v>343</v>
      </c>
      <c r="N122" s="103" t="s">
        <v>573</v>
      </c>
      <c r="O122" s="134" t="s">
        <v>573</v>
      </c>
    </row>
    <row r="123" spans="2:15" ht="54.75" customHeight="1" x14ac:dyDescent="0.3">
      <c r="B123" s="29"/>
      <c r="C123" s="30"/>
      <c r="D123" s="30"/>
      <c r="G123" s="881"/>
      <c r="H123" s="1160"/>
      <c r="I123" s="1160"/>
      <c r="J123" s="1163"/>
      <c r="K123" s="1137" t="s">
        <v>345</v>
      </c>
      <c r="L123" s="1138"/>
      <c r="M123" s="103" t="s">
        <v>346</v>
      </c>
      <c r="N123" s="103" t="s">
        <v>573</v>
      </c>
      <c r="O123" s="134" t="s">
        <v>573</v>
      </c>
    </row>
    <row r="124" spans="2:15" ht="153" customHeight="1" x14ac:dyDescent="0.3">
      <c r="B124" s="29"/>
      <c r="C124" s="30"/>
      <c r="D124" s="30"/>
      <c r="G124" s="881"/>
      <c r="H124" s="1160"/>
      <c r="I124" s="1160"/>
      <c r="J124" s="1163"/>
      <c r="K124" s="1137" t="s">
        <v>347</v>
      </c>
      <c r="L124" s="1138"/>
      <c r="M124" s="103" t="s">
        <v>284</v>
      </c>
      <c r="N124" s="103" t="s">
        <v>635</v>
      </c>
      <c r="O124" s="175" t="s">
        <v>606</v>
      </c>
    </row>
    <row r="125" spans="2:15" ht="54.75" customHeight="1" x14ac:dyDescent="0.3">
      <c r="B125" s="29"/>
      <c r="C125" s="30"/>
      <c r="D125" s="30"/>
      <c r="G125" s="881"/>
      <c r="H125" s="1160"/>
      <c r="I125" s="1160"/>
      <c r="J125" s="1163"/>
      <c r="K125" s="1137" t="s">
        <v>348</v>
      </c>
      <c r="L125" s="1138"/>
      <c r="M125" s="103" t="s">
        <v>288</v>
      </c>
      <c r="N125" s="103" t="s">
        <v>573</v>
      </c>
      <c r="O125" s="134" t="s">
        <v>573</v>
      </c>
    </row>
    <row r="126" spans="2:15" ht="54.75" customHeight="1" x14ac:dyDescent="0.3">
      <c r="B126" s="29"/>
      <c r="C126" s="30"/>
      <c r="D126" s="30"/>
      <c r="G126" s="881"/>
      <c r="H126" s="1160"/>
      <c r="I126" s="1160"/>
      <c r="J126" s="1163"/>
      <c r="K126" s="1137" t="s">
        <v>349</v>
      </c>
      <c r="L126" s="1138"/>
      <c r="M126" s="103" t="s">
        <v>330</v>
      </c>
      <c r="N126" s="103" t="s">
        <v>632</v>
      </c>
      <c r="O126" s="175" t="s">
        <v>631</v>
      </c>
    </row>
    <row r="127" spans="2:15" ht="54.75" customHeight="1" x14ac:dyDescent="0.3">
      <c r="B127" s="29"/>
      <c r="C127" s="30"/>
      <c r="D127" s="30"/>
      <c r="G127" s="881"/>
      <c r="H127" s="1160"/>
      <c r="I127" s="1160"/>
      <c r="J127" s="1163"/>
      <c r="K127" s="1137" t="s">
        <v>350</v>
      </c>
      <c r="L127" s="1138"/>
      <c r="M127" s="103" t="s">
        <v>340</v>
      </c>
      <c r="N127" s="103" t="s">
        <v>632</v>
      </c>
      <c r="O127" s="175" t="s">
        <v>633</v>
      </c>
    </row>
    <row r="128" spans="2:15" ht="54.75" customHeight="1" x14ac:dyDescent="0.3">
      <c r="B128" s="29"/>
      <c r="C128" s="30"/>
      <c r="D128" s="30"/>
      <c r="G128" s="881"/>
      <c r="H128" s="1160"/>
      <c r="I128" s="1160"/>
      <c r="J128" s="1163"/>
      <c r="K128" s="1137" t="s">
        <v>351</v>
      </c>
      <c r="L128" s="1138"/>
      <c r="M128" s="103" t="s">
        <v>352</v>
      </c>
      <c r="N128" s="103" t="s">
        <v>573</v>
      </c>
      <c r="O128" s="134" t="s">
        <v>573</v>
      </c>
    </row>
    <row r="129" spans="2:15" ht="54.75" customHeight="1" x14ac:dyDescent="0.3">
      <c r="B129" s="29"/>
      <c r="C129" s="30"/>
      <c r="D129" s="30"/>
      <c r="G129" s="881"/>
      <c r="H129" s="1160"/>
      <c r="I129" s="1160"/>
      <c r="J129" s="1163"/>
      <c r="K129" s="1151" t="s">
        <v>344</v>
      </c>
      <c r="L129" s="1152"/>
      <c r="M129" s="1152"/>
      <c r="N129" s="1152"/>
      <c r="O129" s="1153"/>
    </row>
    <row r="130" spans="2:15" ht="54.75" customHeight="1" x14ac:dyDescent="0.3">
      <c r="B130" s="29"/>
      <c r="C130" s="30"/>
      <c r="D130" s="30"/>
      <c r="G130" s="881"/>
      <c r="H130" s="1160"/>
      <c r="I130" s="1160"/>
      <c r="J130" s="1163"/>
      <c r="K130" s="1137" t="s">
        <v>353</v>
      </c>
      <c r="L130" s="1138"/>
      <c r="M130" s="103" t="s">
        <v>346</v>
      </c>
      <c r="N130" s="103" t="s">
        <v>573</v>
      </c>
      <c r="O130" s="134" t="s">
        <v>573</v>
      </c>
    </row>
    <row r="131" spans="2:15" ht="54.75" customHeight="1" x14ac:dyDescent="0.3">
      <c r="B131" s="29"/>
      <c r="C131" s="30"/>
      <c r="D131" s="30"/>
      <c r="G131" s="881"/>
      <c r="H131" s="1160"/>
      <c r="I131" s="1160"/>
      <c r="J131" s="1163"/>
      <c r="K131" s="1137" t="s">
        <v>354</v>
      </c>
      <c r="L131" s="1138"/>
      <c r="M131" s="103" t="s">
        <v>355</v>
      </c>
      <c r="N131" s="103" t="s">
        <v>573</v>
      </c>
      <c r="O131" s="134" t="s">
        <v>573</v>
      </c>
    </row>
    <row r="132" spans="2:15" ht="61.5" customHeight="1" x14ac:dyDescent="0.3">
      <c r="B132" s="29"/>
      <c r="C132" s="30"/>
      <c r="D132" s="30"/>
      <c r="G132" s="881"/>
      <c r="H132" s="1160"/>
      <c r="I132" s="1160"/>
      <c r="J132" s="1163"/>
      <c r="K132" s="1137" t="s">
        <v>356</v>
      </c>
      <c r="L132" s="1138"/>
      <c r="M132" s="103" t="s">
        <v>302</v>
      </c>
      <c r="N132" s="103" t="s">
        <v>636</v>
      </c>
      <c r="O132" s="175" t="s">
        <v>637</v>
      </c>
    </row>
    <row r="133" spans="2:15" ht="78" customHeight="1" x14ac:dyDescent="0.3">
      <c r="B133" s="29"/>
      <c r="C133" s="30"/>
      <c r="D133" s="30"/>
      <c r="G133" s="881"/>
      <c r="H133" s="1160"/>
      <c r="I133" s="1160"/>
      <c r="J133" s="1163"/>
      <c r="K133" s="1137" t="s">
        <v>357</v>
      </c>
      <c r="L133" s="1138"/>
      <c r="M133" s="103" t="s">
        <v>358</v>
      </c>
      <c r="N133" s="103" t="s">
        <v>638</v>
      </c>
      <c r="O133" s="175" t="s">
        <v>639</v>
      </c>
    </row>
    <row r="134" spans="2:15" ht="86.25" customHeight="1" x14ac:dyDescent="0.3">
      <c r="B134" s="29"/>
      <c r="C134" s="30"/>
      <c r="D134" s="30"/>
      <c r="G134" s="881"/>
      <c r="H134" s="1160"/>
      <c r="I134" s="1160"/>
      <c r="J134" s="1163"/>
      <c r="K134" s="1137" t="s">
        <v>359</v>
      </c>
      <c r="L134" s="1138"/>
      <c r="M134" s="103" t="s">
        <v>284</v>
      </c>
      <c r="N134" s="103" t="s">
        <v>640</v>
      </c>
      <c r="O134" s="175" t="s">
        <v>606</v>
      </c>
    </row>
    <row r="135" spans="2:15" ht="54.75" customHeight="1" x14ac:dyDescent="0.3">
      <c r="B135" s="29"/>
      <c r="C135" s="30"/>
      <c r="D135" s="30"/>
      <c r="G135" s="882"/>
      <c r="H135" s="1161"/>
      <c r="I135" s="1161"/>
      <c r="J135" s="1164"/>
      <c r="K135" s="1137" t="s">
        <v>360</v>
      </c>
      <c r="L135" s="1138"/>
      <c r="M135" s="103" t="s">
        <v>297</v>
      </c>
      <c r="N135" s="103" t="s">
        <v>573</v>
      </c>
      <c r="O135" s="134" t="s">
        <v>573</v>
      </c>
    </row>
    <row r="136" spans="2:15" ht="54.75" customHeight="1" x14ac:dyDescent="0.3">
      <c r="B136" s="29"/>
      <c r="C136" s="30"/>
      <c r="D136" s="30"/>
      <c r="G136" s="880">
        <v>2015</v>
      </c>
      <c r="H136" s="880">
        <v>13</v>
      </c>
      <c r="I136" s="880">
        <v>18</v>
      </c>
      <c r="J136" s="1189">
        <f>+H136/I136</f>
        <v>0.72222222222222221</v>
      </c>
      <c r="K136" s="1158" t="s">
        <v>250</v>
      </c>
      <c r="L136" s="1158"/>
      <c r="M136" s="102" t="s">
        <v>251</v>
      </c>
      <c r="N136" s="1158" t="s">
        <v>252</v>
      </c>
      <c r="O136" s="1158"/>
    </row>
    <row r="137" spans="2:15" ht="119.25" customHeight="1" x14ac:dyDescent="0.3">
      <c r="B137" s="29"/>
      <c r="C137" s="30"/>
      <c r="D137" s="30"/>
      <c r="G137" s="881"/>
      <c r="H137" s="881"/>
      <c r="I137" s="881"/>
      <c r="J137" s="1190"/>
      <c r="K137" s="1149" t="s">
        <v>820</v>
      </c>
      <c r="L137" s="1149"/>
      <c r="M137" s="1149"/>
      <c r="N137" s="1149"/>
      <c r="O137" s="1149"/>
    </row>
    <row r="138" spans="2:15" ht="39" customHeight="1" x14ac:dyDescent="0.3">
      <c r="B138" s="29"/>
      <c r="C138" s="30"/>
      <c r="D138" s="30"/>
      <c r="G138" s="881"/>
      <c r="H138" s="881"/>
      <c r="I138" s="881"/>
      <c r="J138" s="1190"/>
      <c r="K138" s="1150" t="s">
        <v>819</v>
      </c>
      <c r="L138" s="1149"/>
      <c r="M138" s="1149"/>
      <c r="N138" s="1149"/>
      <c r="O138" s="1149"/>
    </row>
    <row r="139" spans="2:15" ht="41.25" customHeight="1" x14ac:dyDescent="0.3">
      <c r="B139" s="29"/>
      <c r="C139" s="30"/>
      <c r="D139" s="30"/>
      <c r="G139" s="881"/>
      <c r="H139" s="881"/>
      <c r="I139" s="881"/>
      <c r="J139" s="1190"/>
      <c r="K139" s="1150" t="s">
        <v>818</v>
      </c>
      <c r="L139" s="1149"/>
      <c r="M139" s="1149"/>
      <c r="N139" s="1149"/>
      <c r="O139" s="1149"/>
    </row>
    <row r="140" spans="2:15" ht="36" customHeight="1" x14ac:dyDescent="0.3">
      <c r="B140" s="29"/>
      <c r="C140" s="30"/>
      <c r="D140" s="30"/>
      <c r="G140" s="881"/>
      <c r="H140" s="881"/>
      <c r="I140" s="881"/>
      <c r="J140" s="1190"/>
      <c r="K140" s="1149" t="s">
        <v>817</v>
      </c>
      <c r="L140" s="1149"/>
      <c r="M140" s="1149"/>
      <c r="N140" s="1149"/>
      <c r="O140" s="1149"/>
    </row>
    <row r="141" spans="2:15" ht="72.75" customHeight="1" x14ac:dyDescent="0.3">
      <c r="B141" s="29"/>
      <c r="C141" s="30"/>
      <c r="D141" s="30"/>
      <c r="G141" s="881"/>
      <c r="H141" s="881"/>
      <c r="I141" s="881"/>
      <c r="J141" s="1190"/>
      <c r="K141" s="1150" t="s">
        <v>816</v>
      </c>
      <c r="L141" s="1149"/>
      <c r="M141" s="1149"/>
      <c r="N141" s="1149"/>
      <c r="O141" s="1149"/>
    </row>
    <row r="142" spans="2:15" ht="27.75" customHeight="1" x14ac:dyDescent="0.3">
      <c r="B142" s="29"/>
      <c r="C142" s="30"/>
      <c r="D142" s="30"/>
      <c r="G142" s="881"/>
      <c r="H142" s="881"/>
      <c r="I142" s="881"/>
      <c r="J142" s="1190"/>
      <c r="K142" s="1157" t="s">
        <v>531</v>
      </c>
      <c r="L142" s="1157"/>
      <c r="M142" s="1157"/>
      <c r="N142" s="1157"/>
      <c r="O142" s="1157"/>
    </row>
    <row r="143" spans="2:15" ht="28.5" customHeight="1" x14ac:dyDescent="0.3">
      <c r="B143" s="29"/>
      <c r="C143" s="30"/>
      <c r="D143" s="30"/>
      <c r="G143" s="881"/>
      <c r="H143" s="881"/>
      <c r="I143" s="881"/>
      <c r="J143" s="1190"/>
      <c r="K143" s="1157" t="s">
        <v>528</v>
      </c>
      <c r="L143" s="1157"/>
      <c r="M143" s="1157"/>
      <c r="N143" s="1157"/>
      <c r="O143" s="1157"/>
    </row>
    <row r="144" spans="2:15" ht="29.25" customHeight="1" x14ac:dyDescent="0.3">
      <c r="B144" s="29"/>
      <c r="C144" s="30"/>
      <c r="D144" s="30"/>
      <c r="G144" s="881"/>
      <c r="H144" s="881"/>
      <c r="I144" s="881"/>
      <c r="J144" s="1190"/>
      <c r="K144" s="1157" t="s">
        <v>530</v>
      </c>
      <c r="L144" s="1157"/>
      <c r="M144" s="1157"/>
      <c r="N144" s="1157"/>
      <c r="O144" s="1157"/>
    </row>
    <row r="145" spans="1:15" ht="30.75" customHeight="1" x14ac:dyDescent="0.3">
      <c r="B145" s="29"/>
      <c r="C145" s="30"/>
      <c r="D145" s="30"/>
      <c r="G145" s="881"/>
      <c r="H145" s="881"/>
      <c r="I145" s="881"/>
      <c r="J145" s="1190"/>
      <c r="K145" s="1157" t="s">
        <v>529</v>
      </c>
      <c r="L145" s="1157"/>
      <c r="M145" s="1157"/>
      <c r="N145" s="1157"/>
      <c r="O145" s="1157"/>
    </row>
    <row r="146" spans="1:15" ht="26.25" customHeight="1" x14ac:dyDescent="0.3">
      <c r="B146" s="29"/>
      <c r="C146" s="30"/>
      <c r="D146" s="30"/>
      <c r="G146" s="882"/>
      <c r="H146" s="882"/>
      <c r="I146" s="882"/>
      <c r="J146" s="1191"/>
      <c r="K146" s="1157" t="s">
        <v>318</v>
      </c>
      <c r="L146" s="1157"/>
      <c r="M146" s="1157"/>
      <c r="N146" s="1157"/>
      <c r="O146" s="1157"/>
    </row>
    <row r="149" spans="1:15" ht="28.5" customHeight="1" x14ac:dyDescent="0.25">
      <c r="A149" s="1154" t="str">
        <f>+D15</f>
        <v>PORCENTAJE (%) DE RECONOCIMIENTOS OTORGADOS DE ACUERDO A LO ESTABLECIDO EN EL PLAN ANUAL DE FORMACIÓN, CAPACITACIÓN, BIENESTAR SOCIAL E INCENTIVOS DEL PERSONAL 2015</v>
      </c>
      <c r="B149" s="1155"/>
      <c r="C149" s="1155"/>
      <c r="D149" s="1155"/>
      <c r="E149" s="1155"/>
      <c r="F149" s="1155"/>
      <c r="G149" s="1155"/>
      <c r="H149" s="1155"/>
      <c r="I149" s="1155"/>
      <c r="J149" s="1155"/>
      <c r="K149" s="1155"/>
      <c r="L149" s="1155"/>
      <c r="M149" s="1155"/>
      <c r="N149" s="1155"/>
      <c r="O149" s="1156"/>
    </row>
    <row r="150" spans="1:15" x14ac:dyDescent="0.25">
      <c r="A150" s="5"/>
    </row>
    <row r="151" spans="1:15" ht="169.5" customHeight="1" x14ac:dyDescent="0.25">
      <c r="A151" s="26"/>
      <c r="G151" s="238" t="s">
        <v>715</v>
      </c>
      <c r="H151" s="238" t="s">
        <v>363</v>
      </c>
      <c r="I151" s="238" t="s">
        <v>368</v>
      </c>
      <c r="J151" s="238" t="s">
        <v>370</v>
      </c>
      <c r="K151" s="238" t="s">
        <v>372</v>
      </c>
      <c r="L151" s="239" t="s">
        <v>731</v>
      </c>
      <c r="M151" s="237" t="s">
        <v>732</v>
      </c>
      <c r="N151" s="237" t="s">
        <v>714</v>
      </c>
    </row>
    <row r="152" spans="1:15" ht="45.75" customHeight="1" x14ac:dyDescent="0.25">
      <c r="A152" s="856" t="s">
        <v>714</v>
      </c>
      <c r="B152" s="857"/>
      <c r="C152" s="857"/>
      <c r="D152" s="857"/>
      <c r="E152" s="857"/>
      <c r="F152" s="857"/>
      <c r="G152" s="225">
        <v>2014</v>
      </c>
      <c r="H152" s="157">
        <v>0</v>
      </c>
      <c r="I152" s="157">
        <v>0</v>
      </c>
      <c r="J152" s="157">
        <v>0</v>
      </c>
      <c r="K152" s="157">
        <v>0</v>
      </c>
      <c r="L152" s="234">
        <v>0</v>
      </c>
      <c r="M152" s="234">
        <v>0</v>
      </c>
      <c r="N152" s="60" t="e">
        <f>+L152/M152</f>
        <v>#DIV/0!</v>
      </c>
    </row>
    <row r="153" spans="1:15" ht="37.5" customHeight="1" x14ac:dyDescent="0.25">
      <c r="A153" s="210"/>
      <c r="B153" s="211"/>
      <c r="C153" s="211"/>
      <c r="D153" s="211"/>
      <c r="E153" s="211"/>
      <c r="F153" s="211"/>
      <c r="G153" s="225">
        <v>2015</v>
      </c>
      <c r="H153" s="157">
        <f>+L172</f>
        <v>6.3829787234042548E-2</v>
      </c>
      <c r="I153" s="157">
        <v>0</v>
      </c>
      <c r="J153" s="157">
        <v>0</v>
      </c>
      <c r="K153" s="157">
        <v>0</v>
      </c>
      <c r="L153" s="235">
        <v>3</v>
      </c>
      <c r="M153" s="235">
        <v>47</v>
      </c>
      <c r="N153" s="60">
        <f>+L153/M153</f>
        <v>6.3829787234042548E-2</v>
      </c>
    </row>
    <row r="154" spans="1:15" ht="45" customHeight="1" x14ac:dyDescent="0.25">
      <c r="A154" s="856" t="s">
        <v>699</v>
      </c>
      <c r="B154" s="857"/>
      <c r="C154" s="857"/>
      <c r="D154" s="857"/>
      <c r="E154" s="857"/>
      <c r="F154" s="857"/>
      <c r="G154" s="226"/>
      <c r="H154" s="27">
        <v>0.9</v>
      </c>
      <c r="I154" s="27">
        <v>0.9</v>
      </c>
      <c r="J154" s="27">
        <v>0.9</v>
      </c>
      <c r="K154" s="27">
        <v>0.9</v>
      </c>
      <c r="L154" s="236"/>
      <c r="M154" s="236"/>
      <c r="N154" s="60" t="e">
        <f>+L154/M154</f>
        <v>#DIV/0!</v>
      </c>
    </row>
    <row r="155" spans="1:15" x14ac:dyDescent="0.25">
      <c r="A155" s="5"/>
    </row>
    <row r="156" spans="1:15" x14ac:dyDescent="0.25">
      <c r="A156" s="5"/>
    </row>
    <row r="157" spans="1:15" ht="17.5" x14ac:dyDescent="0.25">
      <c r="A157" s="5"/>
      <c r="G157" s="1145" t="s">
        <v>77</v>
      </c>
      <c r="H157" s="1147" t="s">
        <v>361</v>
      </c>
      <c r="I157" s="1148"/>
      <c r="J157" s="1128" t="s">
        <v>78</v>
      </c>
      <c r="K157" s="1129"/>
      <c r="L157" s="1130"/>
      <c r="M157" s="1131" t="s">
        <v>79</v>
      </c>
      <c r="N157" s="1132"/>
      <c r="O157" s="1133"/>
    </row>
    <row r="158" spans="1:15" ht="208.5" customHeight="1" x14ac:dyDescent="0.25">
      <c r="A158" s="5"/>
      <c r="G158" s="1146"/>
      <c r="H158" s="1147"/>
      <c r="I158" s="1148"/>
      <c r="J158" s="98" t="s">
        <v>362</v>
      </c>
      <c r="K158" s="98" t="s">
        <v>732</v>
      </c>
      <c r="L158" s="98" t="s">
        <v>714</v>
      </c>
      <c r="M158" s="1134"/>
      <c r="N158" s="1135"/>
      <c r="O158" s="1136"/>
    </row>
    <row r="159" spans="1:15" ht="54.75" customHeight="1" x14ac:dyDescent="0.25">
      <c r="A159" s="5"/>
      <c r="G159" s="880">
        <v>2014</v>
      </c>
      <c r="H159" s="1192" t="s">
        <v>363</v>
      </c>
      <c r="I159" s="106" t="s">
        <v>364</v>
      </c>
      <c r="J159" s="45">
        <v>0</v>
      </c>
      <c r="K159" s="45">
        <v>1</v>
      </c>
      <c r="L159" s="60">
        <f t="shared" ref="L159:L168" si="1">+J159/K159</f>
        <v>0</v>
      </c>
      <c r="M159" s="1003" t="s">
        <v>641</v>
      </c>
      <c r="N159" s="1004"/>
      <c r="O159" s="1005"/>
    </row>
    <row r="160" spans="1:15" ht="54.75" customHeight="1" x14ac:dyDescent="0.25">
      <c r="A160" s="5"/>
      <c r="G160" s="881"/>
      <c r="H160" s="1193"/>
      <c r="I160" s="106" t="s">
        <v>365</v>
      </c>
      <c r="J160" s="45">
        <v>0</v>
      </c>
      <c r="K160" s="45">
        <v>0</v>
      </c>
      <c r="L160" s="60" t="e">
        <f>+J160/K160</f>
        <v>#DIV/0!</v>
      </c>
      <c r="M160" s="1006"/>
      <c r="N160" s="1007"/>
      <c r="O160" s="1008"/>
    </row>
    <row r="161" spans="1:15" ht="54.75" customHeight="1" x14ac:dyDescent="0.25">
      <c r="A161" s="5"/>
      <c r="G161" s="881"/>
      <c r="H161" s="1193"/>
      <c r="I161" s="106" t="s">
        <v>366</v>
      </c>
      <c r="J161" s="45">
        <v>0</v>
      </c>
      <c r="K161" s="45">
        <v>0</v>
      </c>
      <c r="L161" s="60" t="e">
        <f t="shared" si="1"/>
        <v>#DIV/0!</v>
      </c>
      <c r="M161" s="1006"/>
      <c r="N161" s="1007"/>
      <c r="O161" s="1008"/>
    </row>
    <row r="162" spans="1:15" ht="54.75" customHeight="1" x14ac:dyDescent="0.25">
      <c r="A162" s="5"/>
      <c r="G162" s="881"/>
      <c r="H162" s="1194"/>
      <c r="I162" s="107" t="s">
        <v>367</v>
      </c>
      <c r="J162" s="45">
        <f>SUM(J159:J161)</f>
        <v>0</v>
      </c>
      <c r="K162" s="45">
        <f>SUM(K159:K161)</f>
        <v>1</v>
      </c>
      <c r="L162" s="60">
        <f t="shared" si="1"/>
        <v>0</v>
      </c>
      <c r="M162" s="1006"/>
      <c r="N162" s="1007"/>
      <c r="O162" s="1008"/>
    </row>
    <row r="163" spans="1:15" ht="54" x14ac:dyDescent="0.25">
      <c r="A163" s="5"/>
      <c r="G163" s="881"/>
      <c r="H163" s="41" t="s">
        <v>368</v>
      </c>
      <c r="I163" s="106" t="s">
        <v>369</v>
      </c>
      <c r="J163" s="45">
        <v>0</v>
      </c>
      <c r="K163" s="45">
        <v>0</v>
      </c>
      <c r="L163" s="60" t="e">
        <f t="shared" si="1"/>
        <v>#DIV/0!</v>
      </c>
      <c r="M163" s="1006"/>
      <c r="N163" s="1007"/>
      <c r="O163" s="1008"/>
    </row>
    <row r="164" spans="1:15" ht="54" x14ac:dyDescent="0.25">
      <c r="A164" s="5"/>
      <c r="G164" s="881"/>
      <c r="H164" s="41" t="s">
        <v>370</v>
      </c>
      <c r="I164" s="106" t="s">
        <v>371</v>
      </c>
      <c r="J164" s="45">
        <v>0</v>
      </c>
      <c r="K164" s="45">
        <v>18</v>
      </c>
      <c r="L164" s="60">
        <f>+J164/K164</f>
        <v>0</v>
      </c>
      <c r="M164" s="1006"/>
      <c r="N164" s="1007"/>
      <c r="O164" s="1008"/>
    </row>
    <row r="165" spans="1:15" ht="67.5" x14ac:dyDescent="0.25">
      <c r="A165" s="5"/>
      <c r="G165" s="881"/>
      <c r="H165" s="1140" t="s">
        <v>372</v>
      </c>
      <c r="I165" s="106" t="s">
        <v>373</v>
      </c>
      <c r="J165" s="45">
        <v>0</v>
      </c>
      <c r="K165" s="45">
        <v>1</v>
      </c>
      <c r="L165" s="60">
        <f t="shared" si="1"/>
        <v>0</v>
      </c>
      <c r="M165" s="1006"/>
      <c r="N165" s="1007"/>
      <c r="O165" s="1008"/>
    </row>
    <row r="166" spans="1:15" ht="67.5" x14ac:dyDescent="0.25">
      <c r="A166" s="5"/>
      <c r="G166" s="881"/>
      <c r="H166" s="1141"/>
      <c r="I166" s="106" t="s">
        <v>374</v>
      </c>
      <c r="J166" s="45">
        <v>0</v>
      </c>
      <c r="K166" s="45">
        <v>1</v>
      </c>
      <c r="L166" s="60">
        <f t="shared" si="1"/>
        <v>0</v>
      </c>
      <c r="M166" s="1006"/>
      <c r="N166" s="1007"/>
      <c r="O166" s="1008"/>
    </row>
    <row r="167" spans="1:15" ht="27" x14ac:dyDescent="0.25">
      <c r="A167" s="5"/>
      <c r="G167" s="881"/>
      <c r="H167" s="1142"/>
      <c r="I167" s="107" t="s">
        <v>375</v>
      </c>
      <c r="J167" s="45">
        <f>+J165+J166</f>
        <v>0</v>
      </c>
      <c r="K167" s="45">
        <f>+K165+K166</f>
        <v>2</v>
      </c>
      <c r="L167" s="60">
        <f t="shared" si="1"/>
        <v>0</v>
      </c>
      <c r="M167" s="1006"/>
      <c r="N167" s="1007"/>
      <c r="O167" s="1008"/>
    </row>
    <row r="168" spans="1:15" ht="17.5" x14ac:dyDescent="0.25">
      <c r="A168" s="5"/>
      <c r="G168" s="882"/>
      <c r="H168" s="1143" t="s">
        <v>376</v>
      </c>
      <c r="I168" s="1144"/>
      <c r="J168" s="45">
        <f>+J162+J163+J164+J167</f>
        <v>0</v>
      </c>
      <c r="K168" s="45">
        <f>+K162+K163+K164+K167</f>
        <v>21</v>
      </c>
      <c r="L168" s="60">
        <f t="shared" si="1"/>
        <v>0</v>
      </c>
      <c r="M168" s="1009"/>
      <c r="N168" s="1010"/>
      <c r="O168" s="1011"/>
    </row>
    <row r="169" spans="1:15" ht="40.5" x14ac:dyDescent="0.25">
      <c r="A169" s="5"/>
      <c r="G169" s="880">
        <v>2015</v>
      </c>
      <c r="H169" s="1192" t="s">
        <v>363</v>
      </c>
      <c r="I169" s="106" t="s">
        <v>364</v>
      </c>
      <c r="J169" s="45">
        <v>0</v>
      </c>
      <c r="K169" s="45">
        <v>8</v>
      </c>
      <c r="L169" s="60">
        <f t="shared" ref="L169:L178" si="2">+J169/K169</f>
        <v>0</v>
      </c>
      <c r="M169" s="1003" t="s">
        <v>836</v>
      </c>
      <c r="N169" s="1004"/>
      <c r="O169" s="1005"/>
    </row>
    <row r="170" spans="1:15" ht="40.5" x14ac:dyDescent="0.25">
      <c r="A170" s="5"/>
      <c r="G170" s="881"/>
      <c r="H170" s="1193"/>
      <c r="I170" s="106" t="s">
        <v>365</v>
      </c>
      <c r="J170" s="45">
        <v>0</v>
      </c>
      <c r="K170" s="45">
        <v>4</v>
      </c>
      <c r="L170" s="60">
        <f t="shared" si="2"/>
        <v>0</v>
      </c>
      <c r="M170" s="1006"/>
      <c r="N170" s="1007"/>
      <c r="O170" s="1008"/>
    </row>
    <row r="171" spans="1:15" ht="40.5" x14ac:dyDescent="0.25">
      <c r="A171" s="5"/>
      <c r="G171" s="881"/>
      <c r="H171" s="1193"/>
      <c r="I171" s="106" t="s">
        <v>366</v>
      </c>
      <c r="J171" s="45">
        <v>3</v>
      </c>
      <c r="K171" s="45">
        <v>35</v>
      </c>
      <c r="L171" s="60">
        <f t="shared" si="2"/>
        <v>8.5714285714285715E-2</v>
      </c>
      <c r="M171" s="1006"/>
      <c r="N171" s="1007"/>
      <c r="O171" s="1008"/>
    </row>
    <row r="172" spans="1:15" ht="27" x14ac:dyDescent="0.25">
      <c r="A172" s="5"/>
      <c r="G172" s="881"/>
      <c r="H172" s="1194"/>
      <c r="I172" s="107" t="s">
        <v>367</v>
      </c>
      <c r="J172" s="45">
        <f>SUM(J169:J171)</f>
        <v>3</v>
      </c>
      <c r="K172" s="45">
        <f>SUM(K169:K171)</f>
        <v>47</v>
      </c>
      <c r="L172" s="60">
        <f t="shared" si="2"/>
        <v>6.3829787234042548E-2</v>
      </c>
      <c r="M172" s="1006"/>
      <c r="N172" s="1007"/>
      <c r="O172" s="1008"/>
    </row>
    <row r="173" spans="1:15" ht="54" x14ac:dyDescent="0.25">
      <c r="A173" s="5"/>
      <c r="G173" s="881"/>
      <c r="H173" s="41" t="s">
        <v>368</v>
      </c>
      <c r="I173" s="106" t="s">
        <v>369</v>
      </c>
      <c r="J173" s="45">
        <v>0</v>
      </c>
      <c r="K173" s="45"/>
      <c r="L173" s="60" t="e">
        <f t="shared" si="2"/>
        <v>#DIV/0!</v>
      </c>
      <c r="M173" s="1006"/>
      <c r="N173" s="1007"/>
      <c r="O173" s="1008"/>
    </row>
    <row r="174" spans="1:15" ht="54" x14ac:dyDescent="0.25">
      <c r="A174" s="5"/>
      <c r="G174" s="881"/>
      <c r="H174" s="41" t="s">
        <v>370</v>
      </c>
      <c r="I174" s="106" t="s">
        <v>371</v>
      </c>
      <c r="J174" s="45">
        <v>0</v>
      </c>
      <c r="K174" s="45"/>
      <c r="L174" s="60" t="e">
        <f t="shared" si="2"/>
        <v>#DIV/0!</v>
      </c>
      <c r="M174" s="1006"/>
      <c r="N174" s="1007"/>
      <c r="O174" s="1008"/>
    </row>
    <row r="175" spans="1:15" ht="67.5" x14ac:dyDescent="0.25">
      <c r="A175" s="5"/>
      <c r="G175" s="881"/>
      <c r="H175" s="1140" t="s">
        <v>372</v>
      </c>
      <c r="I175" s="106" t="s">
        <v>373</v>
      </c>
      <c r="J175" s="45">
        <v>0</v>
      </c>
      <c r="K175" s="45"/>
      <c r="L175" s="60" t="e">
        <f t="shared" si="2"/>
        <v>#DIV/0!</v>
      </c>
      <c r="M175" s="1006"/>
      <c r="N175" s="1007"/>
      <c r="O175" s="1008"/>
    </row>
    <row r="176" spans="1:15" ht="67.5" x14ac:dyDescent="0.25">
      <c r="A176" s="5"/>
      <c r="G176" s="881"/>
      <c r="H176" s="1141"/>
      <c r="I176" s="106" t="s">
        <v>374</v>
      </c>
      <c r="J176" s="45">
        <v>0</v>
      </c>
      <c r="K176" s="45"/>
      <c r="L176" s="60" t="e">
        <f t="shared" si="2"/>
        <v>#DIV/0!</v>
      </c>
      <c r="M176" s="1006"/>
      <c r="N176" s="1007"/>
      <c r="O176" s="1008"/>
    </row>
    <row r="177" spans="1:15" ht="27" x14ac:dyDescent="0.25">
      <c r="A177" s="5"/>
      <c r="G177" s="881"/>
      <c r="H177" s="1142"/>
      <c r="I177" s="107" t="s">
        <v>375</v>
      </c>
      <c r="J177" s="45">
        <f>+J175+J176</f>
        <v>0</v>
      </c>
      <c r="K177" s="45"/>
      <c r="L177" s="60" t="e">
        <f t="shared" si="2"/>
        <v>#DIV/0!</v>
      </c>
      <c r="M177" s="1006"/>
      <c r="N177" s="1007"/>
      <c r="O177" s="1008"/>
    </row>
    <row r="178" spans="1:15" ht="17.5" x14ac:dyDescent="0.25">
      <c r="A178" s="5"/>
      <c r="G178" s="882"/>
      <c r="H178" s="1143" t="s">
        <v>376</v>
      </c>
      <c r="I178" s="1144"/>
      <c r="J178" s="45">
        <f>+J172+J173+J174+J177</f>
        <v>3</v>
      </c>
      <c r="K178" s="45">
        <f>+K172+K173+K174+K177</f>
        <v>47</v>
      </c>
      <c r="L178" s="60">
        <f t="shared" si="2"/>
        <v>6.3829787234042548E-2</v>
      </c>
      <c r="M178" s="1009"/>
      <c r="N178" s="1010"/>
      <c r="O178" s="1011"/>
    </row>
    <row r="180" spans="1:15" ht="22.5" customHeight="1" x14ac:dyDescent="0.25">
      <c r="A180" s="1139" t="str">
        <f>+D18</f>
        <v>CAPACITACIÓN DEL PERSONAL PARA EL MEJORAMIENTO EN LA PRESTACIÓN DEL SERVICIO</v>
      </c>
      <c r="B180" s="1139"/>
      <c r="C180" s="1139"/>
      <c r="D180" s="1139"/>
      <c r="E180" s="1139"/>
      <c r="F180" s="1139"/>
      <c r="G180" s="1139"/>
      <c r="H180" s="1139"/>
      <c r="I180" s="1139"/>
      <c r="J180" s="1139"/>
      <c r="K180" s="1139"/>
      <c r="L180" s="1139"/>
      <c r="M180" s="1139"/>
      <c r="N180" s="1139"/>
      <c r="O180" s="1139"/>
    </row>
    <row r="181" spans="1:15" ht="25.5" customHeight="1" x14ac:dyDescent="0.25">
      <c r="A181" s="108" t="s">
        <v>76</v>
      </c>
      <c r="B181" s="108" t="s">
        <v>95</v>
      </c>
      <c r="C181" s="1186" t="s">
        <v>78</v>
      </c>
      <c r="D181" s="1186"/>
      <c r="E181" s="1186"/>
      <c r="F181" s="1186"/>
      <c r="G181" s="1186"/>
      <c r="H181" s="1186" t="s">
        <v>79</v>
      </c>
      <c r="I181" s="1186"/>
      <c r="J181" s="1186"/>
      <c r="K181" s="1186"/>
      <c r="L181" s="1186"/>
      <c r="M181" s="1186"/>
      <c r="N181" s="1186"/>
      <c r="O181" s="1186"/>
    </row>
    <row r="182" spans="1:15" s="178" customFormat="1" ht="92.25" customHeight="1" x14ac:dyDescent="0.25">
      <c r="A182" s="218" t="s">
        <v>720</v>
      </c>
      <c r="B182" s="263">
        <v>1</v>
      </c>
      <c r="C182" s="1187" t="s">
        <v>821</v>
      </c>
      <c r="D182" s="1187"/>
      <c r="E182" s="1187"/>
      <c r="F182" s="1187"/>
      <c r="G182" s="1187"/>
      <c r="H182" s="1188" t="s">
        <v>822</v>
      </c>
      <c r="I182" s="1188"/>
      <c r="J182" s="1188"/>
      <c r="K182" s="1188"/>
      <c r="L182" s="1188"/>
      <c r="M182" s="1188"/>
      <c r="N182" s="1188"/>
      <c r="O182" s="1188"/>
    </row>
    <row r="184" spans="1:15" ht="20" x14ac:dyDescent="0.25">
      <c r="A184" s="1139" t="str">
        <f>+'Hoja 11. TABLA DE CONTROL'!B49</f>
        <v>REALIZAR UN INFORME DE SEGUIMIENTO A LA EVALUACIÓN PARCIAL DE LOS FUNCIONARIOS</v>
      </c>
      <c r="B184" s="1139"/>
      <c r="C184" s="1139"/>
      <c r="D184" s="1139"/>
      <c r="E184" s="1139"/>
      <c r="F184" s="1139"/>
      <c r="G184" s="1139"/>
      <c r="H184" s="1139"/>
      <c r="I184" s="1139"/>
      <c r="J184" s="1139"/>
      <c r="K184" s="1139"/>
      <c r="L184" s="1139"/>
      <c r="M184" s="1139"/>
      <c r="N184" s="1139"/>
      <c r="O184" s="1139"/>
    </row>
    <row r="185" spans="1:15" x14ac:dyDescent="0.25">
      <c r="A185" s="212" t="s">
        <v>76</v>
      </c>
      <c r="B185" s="212" t="s">
        <v>95</v>
      </c>
      <c r="C185" s="1186" t="s">
        <v>78</v>
      </c>
      <c r="D185" s="1186"/>
      <c r="E185" s="1186"/>
      <c r="F185" s="1186"/>
      <c r="G185" s="1186"/>
      <c r="H185" s="1186" t="s">
        <v>79</v>
      </c>
      <c r="I185" s="1186"/>
      <c r="J185" s="1186"/>
      <c r="K185" s="1186"/>
      <c r="L185" s="1186"/>
      <c r="M185" s="1186"/>
      <c r="N185" s="1186"/>
      <c r="O185" s="1186"/>
    </row>
    <row r="186" spans="1:15" ht="78" customHeight="1" x14ac:dyDescent="0.25">
      <c r="A186" s="218" t="s">
        <v>727</v>
      </c>
      <c r="B186" s="263">
        <v>1</v>
      </c>
      <c r="C186" s="1187" t="s">
        <v>823</v>
      </c>
      <c r="D186" s="1187"/>
      <c r="E186" s="1187"/>
      <c r="F186" s="1187"/>
      <c r="G186" s="1187"/>
      <c r="H186" s="1188" t="s">
        <v>824</v>
      </c>
      <c r="I186" s="1188"/>
      <c r="J186" s="1188"/>
      <c r="K186" s="1188"/>
      <c r="L186" s="1188"/>
      <c r="M186" s="1188"/>
      <c r="N186" s="1188"/>
      <c r="O186" s="1188"/>
    </row>
    <row r="188" spans="1:15" ht="20" x14ac:dyDescent="0.25">
      <c r="A188" s="1139" t="str">
        <f>+'Hoja 11. TABLA DE CONTROL'!B50</f>
        <v>SEGUIMIENTO AL CUMPLIMIENTO DEL PLAN DE CAPACITACIÓN, BIENESTAR E INCENTIVOS</v>
      </c>
      <c r="B188" s="1139"/>
      <c r="C188" s="1139"/>
      <c r="D188" s="1139"/>
      <c r="E188" s="1139"/>
      <c r="F188" s="1139"/>
      <c r="G188" s="1139"/>
      <c r="H188" s="1139"/>
      <c r="I188" s="1139"/>
      <c r="J188" s="1139"/>
      <c r="K188" s="1139"/>
      <c r="L188" s="1139"/>
      <c r="M188" s="1139"/>
      <c r="N188" s="1139"/>
      <c r="O188" s="1139"/>
    </row>
    <row r="189" spans="1:15" x14ac:dyDescent="0.25">
      <c r="A189" s="212" t="s">
        <v>76</v>
      </c>
      <c r="B189" s="212" t="s">
        <v>95</v>
      </c>
      <c r="C189" s="1186" t="s">
        <v>78</v>
      </c>
      <c r="D189" s="1186"/>
      <c r="E189" s="1186"/>
      <c r="F189" s="1186"/>
      <c r="G189" s="1186"/>
      <c r="H189" s="1186" t="s">
        <v>79</v>
      </c>
      <c r="I189" s="1186"/>
      <c r="J189" s="1186"/>
      <c r="K189" s="1186"/>
      <c r="L189" s="1186"/>
      <c r="M189" s="1186"/>
      <c r="N189" s="1186"/>
      <c r="O189" s="1186"/>
    </row>
    <row r="190" spans="1:15" ht="77.25" customHeight="1" x14ac:dyDescent="0.25">
      <c r="A190" s="218" t="s">
        <v>74</v>
      </c>
      <c r="B190" s="264">
        <v>0.60869565217391308</v>
      </c>
      <c r="C190" s="1187" t="s">
        <v>825</v>
      </c>
      <c r="D190" s="1187"/>
      <c r="E190" s="1187"/>
      <c r="F190" s="1187"/>
      <c r="G190" s="1187"/>
      <c r="H190" s="1188" t="s">
        <v>827</v>
      </c>
      <c r="I190" s="1188"/>
      <c r="J190" s="1188"/>
      <c r="K190" s="1188"/>
      <c r="L190" s="1188"/>
      <c r="M190" s="1188"/>
      <c r="N190" s="1188"/>
      <c r="O190" s="1188"/>
    </row>
  </sheetData>
  <mergeCells count="239">
    <mergeCell ref="H182:O182"/>
    <mergeCell ref="G159:G168"/>
    <mergeCell ref="H159:H162"/>
    <mergeCell ref="D23:D25"/>
    <mergeCell ref="E23:E25"/>
    <mergeCell ref="F23:F25"/>
    <mergeCell ref="C186:G186"/>
    <mergeCell ref="H186:O186"/>
    <mergeCell ref="A188:O188"/>
    <mergeCell ref="G44:G46"/>
    <mergeCell ref="L44:O44"/>
    <mergeCell ref="L45:O45"/>
    <mergeCell ref="L46:O46"/>
    <mergeCell ref="J23:J25"/>
    <mergeCell ref="K23:K25"/>
    <mergeCell ref="N23:N25"/>
    <mergeCell ref="O23:O25"/>
    <mergeCell ref="G33:H34"/>
    <mergeCell ref="I33:K33"/>
    <mergeCell ref="L33:O34"/>
    <mergeCell ref="G35:H35"/>
    <mergeCell ref="L35:O35"/>
    <mergeCell ref="G39:H39"/>
    <mergeCell ref="L39:O39"/>
    <mergeCell ref="A31:F31"/>
    <mergeCell ref="D20:D22"/>
    <mergeCell ref="E20:E22"/>
    <mergeCell ref="F20:F22"/>
    <mergeCell ref="A27:O27"/>
    <mergeCell ref="A30:F30"/>
    <mergeCell ref="C189:G189"/>
    <mergeCell ref="H189:O189"/>
    <mergeCell ref="C190:G190"/>
    <mergeCell ref="H190:O190"/>
    <mergeCell ref="H136:H146"/>
    <mergeCell ref="I136:I146"/>
    <mergeCell ref="J136:J146"/>
    <mergeCell ref="G169:G178"/>
    <mergeCell ref="H169:H172"/>
    <mergeCell ref="M169:O178"/>
    <mergeCell ref="H175:H177"/>
    <mergeCell ref="H178:I178"/>
    <mergeCell ref="A184:O184"/>
    <mergeCell ref="C185:G185"/>
    <mergeCell ref="H185:O185"/>
    <mergeCell ref="C181:G181"/>
    <mergeCell ref="H181:O181"/>
    <mergeCell ref="C182:G182"/>
    <mergeCell ref="C20:C22"/>
    <mergeCell ref="G23:I25"/>
    <mergeCell ref="C9:C11"/>
    <mergeCell ref="D9:D11"/>
    <mergeCell ref="E9:E11"/>
    <mergeCell ref="F9:F11"/>
    <mergeCell ref="C12:C14"/>
    <mergeCell ref="D12:D14"/>
    <mergeCell ref="E12:E14"/>
    <mergeCell ref="F12:F14"/>
    <mergeCell ref="K9:K11"/>
    <mergeCell ref="N9:N11"/>
    <mergeCell ref="K15:K17"/>
    <mergeCell ref="N15:N17"/>
    <mergeCell ref="G20:I22"/>
    <mergeCell ref="J20:J22"/>
    <mergeCell ref="O9:O11"/>
    <mergeCell ref="A2:O2"/>
    <mergeCell ref="A4:B8"/>
    <mergeCell ref="C4:C8"/>
    <mergeCell ref="D4:D8"/>
    <mergeCell ref="E4:E8"/>
    <mergeCell ref="F4:F8"/>
    <mergeCell ref="G4:I4"/>
    <mergeCell ref="J4:J8"/>
    <mergeCell ref="K4:K8"/>
    <mergeCell ref="L4:M4"/>
    <mergeCell ref="N4:N8"/>
    <mergeCell ref="O4:O8"/>
    <mergeCell ref="A9:B25"/>
    <mergeCell ref="C23:C25"/>
    <mergeCell ref="K20:K22"/>
    <mergeCell ref="N20:N22"/>
    <mergeCell ref="O20:O22"/>
    <mergeCell ref="A1:D1"/>
    <mergeCell ref="K18:K19"/>
    <mergeCell ref="N18:N19"/>
    <mergeCell ref="O18:O19"/>
    <mergeCell ref="C18:C19"/>
    <mergeCell ref="D18:D19"/>
    <mergeCell ref="E18:E19"/>
    <mergeCell ref="F18:F19"/>
    <mergeCell ref="G18:I19"/>
    <mergeCell ref="O12:O14"/>
    <mergeCell ref="C15:C17"/>
    <mergeCell ref="D15:D17"/>
    <mergeCell ref="E15:E17"/>
    <mergeCell ref="F15:F17"/>
    <mergeCell ref="G15:I17"/>
    <mergeCell ref="J15:J17"/>
    <mergeCell ref="O15:O17"/>
    <mergeCell ref="G12:I14"/>
    <mergeCell ref="J12:J14"/>
    <mergeCell ref="K12:K14"/>
    <mergeCell ref="N12:N14"/>
    <mergeCell ref="J18:J19"/>
    <mergeCell ref="G9:I11"/>
    <mergeCell ref="J9:J11"/>
    <mergeCell ref="G41:G43"/>
    <mergeCell ref="L41:O41"/>
    <mergeCell ref="L42:O42"/>
    <mergeCell ref="L43:O43"/>
    <mergeCell ref="G36:H36"/>
    <mergeCell ref="L36:O36"/>
    <mergeCell ref="G37:H37"/>
    <mergeCell ref="L37:O37"/>
    <mergeCell ref="G38:H38"/>
    <mergeCell ref="L38:O38"/>
    <mergeCell ref="G40:H40"/>
    <mergeCell ref="L40:O40"/>
    <mergeCell ref="H56:J56"/>
    <mergeCell ref="K56:O56"/>
    <mergeCell ref="H57:J57"/>
    <mergeCell ref="K57:O57"/>
    <mergeCell ref="K58:O58"/>
    <mergeCell ref="A48:O48"/>
    <mergeCell ref="A51:F51"/>
    <mergeCell ref="A52:F52"/>
    <mergeCell ref="G54:G55"/>
    <mergeCell ref="H54:J54"/>
    <mergeCell ref="K54:O55"/>
    <mergeCell ref="N59:O59"/>
    <mergeCell ref="K60:O60"/>
    <mergeCell ref="K61:L61"/>
    <mergeCell ref="K62:L62"/>
    <mergeCell ref="G59:G135"/>
    <mergeCell ref="H59:H135"/>
    <mergeCell ref="I59:I135"/>
    <mergeCell ref="J59:J135"/>
    <mergeCell ref="K59:L59"/>
    <mergeCell ref="K63:L63"/>
    <mergeCell ref="K66:O66"/>
    <mergeCell ref="K67:L67"/>
    <mergeCell ref="K68:L68"/>
    <mergeCell ref="K69:L69"/>
    <mergeCell ref="K71:O71"/>
    <mergeCell ref="K72:L72"/>
    <mergeCell ref="K73:L73"/>
    <mergeCell ref="K74:L74"/>
    <mergeCell ref="K75:L75"/>
    <mergeCell ref="K64:L64"/>
    <mergeCell ref="K65:L65"/>
    <mergeCell ref="K80:L80"/>
    <mergeCell ref="K81:L81"/>
    <mergeCell ref="K82:L82"/>
    <mergeCell ref="K77:O77"/>
    <mergeCell ref="K78:L78"/>
    <mergeCell ref="K79:L79"/>
    <mergeCell ref="K87:L87"/>
    <mergeCell ref="K88:L88"/>
    <mergeCell ref="K89:L89"/>
    <mergeCell ref="K84:O84"/>
    <mergeCell ref="K85:L85"/>
    <mergeCell ref="K86:L86"/>
    <mergeCell ref="K90:L90"/>
    <mergeCell ref="K91:L91"/>
    <mergeCell ref="K92:L92"/>
    <mergeCell ref="K100:O100"/>
    <mergeCell ref="K101:L101"/>
    <mergeCell ref="K102:L102"/>
    <mergeCell ref="K96:L96"/>
    <mergeCell ref="K97:L97"/>
    <mergeCell ref="K98:L98"/>
    <mergeCell ref="K104:O104"/>
    <mergeCell ref="K105:L105"/>
    <mergeCell ref="K112:L112"/>
    <mergeCell ref="K113:L113"/>
    <mergeCell ref="K114:L114"/>
    <mergeCell ref="K109:L109"/>
    <mergeCell ref="K110:L110"/>
    <mergeCell ref="K111:O111"/>
    <mergeCell ref="K93:L93"/>
    <mergeCell ref="K94:L94"/>
    <mergeCell ref="K95:L95"/>
    <mergeCell ref="K130:L130"/>
    <mergeCell ref="K131:L131"/>
    <mergeCell ref="K132:L132"/>
    <mergeCell ref="K126:L126"/>
    <mergeCell ref="K127:L127"/>
    <mergeCell ref="K128:L128"/>
    <mergeCell ref="A149:O149"/>
    <mergeCell ref="A152:F152"/>
    <mergeCell ref="A154:F154"/>
    <mergeCell ref="K138:O138"/>
    <mergeCell ref="K139:O139"/>
    <mergeCell ref="K140:O140"/>
    <mergeCell ref="K141:O141"/>
    <mergeCell ref="K142:O142"/>
    <mergeCell ref="K143:O143"/>
    <mergeCell ref="K144:O144"/>
    <mergeCell ref="K145:O145"/>
    <mergeCell ref="K146:O146"/>
    <mergeCell ref="K136:L136"/>
    <mergeCell ref="N136:O136"/>
    <mergeCell ref="K137:O137"/>
    <mergeCell ref="G136:G146"/>
    <mergeCell ref="K70:L70"/>
    <mergeCell ref="M70:O70"/>
    <mergeCell ref="K76:L76"/>
    <mergeCell ref="M76:O76"/>
    <mergeCell ref="K83:L83"/>
    <mergeCell ref="M83:O83"/>
    <mergeCell ref="K129:O129"/>
    <mergeCell ref="K99:L99"/>
    <mergeCell ref="M99:O99"/>
    <mergeCell ref="K118:L118"/>
    <mergeCell ref="K119:L119"/>
    <mergeCell ref="K120:O120"/>
    <mergeCell ref="K115:L115"/>
    <mergeCell ref="K116:O116"/>
    <mergeCell ref="K117:L117"/>
    <mergeCell ref="K123:L123"/>
    <mergeCell ref="K124:L124"/>
    <mergeCell ref="K125:L125"/>
    <mergeCell ref="K121:L121"/>
    <mergeCell ref="K122:L122"/>
    <mergeCell ref="K106:L106"/>
    <mergeCell ref="K107:L107"/>
    <mergeCell ref="K108:L108"/>
    <mergeCell ref="K103:L103"/>
    <mergeCell ref="J157:L157"/>
    <mergeCell ref="M157:O158"/>
    <mergeCell ref="K133:L133"/>
    <mergeCell ref="K134:L134"/>
    <mergeCell ref="K135:L135"/>
    <mergeCell ref="A180:O180"/>
    <mergeCell ref="M159:O168"/>
    <mergeCell ref="H165:H167"/>
    <mergeCell ref="H168:I168"/>
    <mergeCell ref="G157:G158"/>
    <mergeCell ref="H157:I158"/>
  </mergeCells>
  <hyperlinks>
    <hyperlink ref="A27:O27" location="'Hoja 11. TABLA DE CONTROL'!B45" display="'Hoja 11. TABLA DE CONTROL'!B45" xr:uid="{00000000-0004-0000-3200-000000000000}"/>
    <hyperlink ref="D9:D11" location="'Hoja 7. TH'!A27" display="PORCENTAJE (%) DE ENCUESTAS DE SATISFACCIÓN DEL &quot;PLAN ANUAL DE FORMACIÓN, CAPACITACIÓN, BIENESTAR SOCIAL E INCENTIVOS DEL PERSONAL&quot; CALIFICADAS POR PARTE DE LOS FUNCIONARIOS CON UNA NOTA IGUAL O SUPERIOR A TRES PUNTO CINCO (3.5) SOBRE CINCO (5.0)." xr:uid="{00000000-0004-0000-3200-000001000000}"/>
    <hyperlink ref="A48:O48" location="'Hoja 11. TABLA DE CONTROL'!B46" display="'Hoja 11. TABLA DE CONTROL'!B46" xr:uid="{00000000-0004-0000-3200-000002000000}"/>
    <hyperlink ref="A149:N149" location="'Hoja 7. TH'!A4" display="'Hoja 7. TH'!A4" xr:uid="{00000000-0004-0000-3200-000003000000}"/>
    <hyperlink ref="A180:O180" location="'Hoja 11. TABLA DE CONTROL'!B48" display="'Hoja 11. TABLA DE CONTROL'!B48" xr:uid="{00000000-0004-0000-3200-000004000000}"/>
    <hyperlink ref="D12:D14" location="'Hoja 7. TH'!A48" display="PORCENTAJE (%) DE ACTIVIDADES DE FORMACIÓN Y/O CAPACITACIÓN DE PERSONAL CUMPLIDAS EFICAZMENTE." xr:uid="{00000000-0004-0000-3200-000005000000}"/>
    <hyperlink ref="D15:D17" location="'Hoja 7. TH'!A149" display="PORCENTAJE (%) DE RECONOCIMIENTOS OTORGADOS DE ACUERDO A LO ESTABLECIDO EN EL PLAN ANUAL DE FORMACIÓN, CAPACITACIÓN, BIENESTAR SOCIAL E INCENTIVOS DEL PERSONAL 2014" xr:uid="{00000000-0004-0000-3200-000006000000}"/>
    <hyperlink ref="D18:D19" location="'Hoja 7. TH'!A180" display="CAPACITACIÓN DEL PERSONAL PARA EL MEJORAMIENTO EN LA PRESTACIÓN DEL SERVICIO" xr:uid="{00000000-0004-0000-3200-000007000000}"/>
    <hyperlink ref="A184:O184" location="'Hoja 11. TABLA DE CONTROL'!B49" display="'Hoja 11. TABLA DE CONTROL'!B49" xr:uid="{00000000-0004-0000-3200-000008000000}"/>
    <hyperlink ref="A188:O188" location="'Hoja 11. TABLA DE CONTROL'!B50" display="'Hoja 11. TABLA DE CONTROL'!B50" xr:uid="{00000000-0004-0000-3200-000009000000}"/>
    <hyperlink ref="D20:D22" location="'Hoja 7. TH'!A184" display="REALIZAR UN INFORME DE SEGUIMIENTO A LA EVALUACIÓN PARCIAL DE LOS FUNCIONARIOS" xr:uid="{00000000-0004-0000-3200-00000A000000}"/>
    <hyperlink ref="D23:D25" location="'Hoja 7. TH'!A188" display="SEGUIMIENTO AL CUMPLIMIENTO DEL PLAN DE CAPACITACIÓN, BIENESTAR E INCENTIVOS" xr:uid="{00000000-0004-0000-3200-00000B000000}"/>
    <hyperlink ref="A149:O149" location="'Hoja 11. TABLA DE CONTROL'!B47" display="'Hoja 11. TABLA DE CONTROL'!B47" xr:uid="{00000000-0004-0000-3200-00000C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06
Hoja 7. Indicadores Proceso Gestión del Talento Humano
Página &amp;P de &amp;N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tabColor rgb="FF006600"/>
  </sheetPr>
  <dimension ref="A2:P40"/>
  <sheetViews>
    <sheetView showGridLines="0" topLeftCell="G4" zoomScale="40" zoomScaleNormal="40" workbookViewId="0">
      <selection activeCell="O34" sqref="O34:O36"/>
    </sheetView>
  </sheetViews>
  <sheetFormatPr baseColWidth="10" defaultColWidth="11.453125" defaultRowHeight="14" x14ac:dyDescent="0.3"/>
  <cols>
    <col min="1" max="2" width="12.54296875" style="594" customWidth="1"/>
    <col min="3" max="3" width="18.54296875" style="594" customWidth="1"/>
    <col min="4" max="4" width="24.453125" style="594" customWidth="1"/>
    <col min="5" max="5" width="28.90625" style="594" customWidth="1"/>
    <col min="6" max="6" width="24.08984375" style="594" customWidth="1"/>
    <col min="7" max="7" width="14.54296875" style="594" customWidth="1"/>
    <col min="8" max="8" width="21.08984375" style="594" customWidth="1"/>
    <col min="9" max="9" width="16.6328125" style="594" customWidth="1"/>
    <col min="10" max="10" width="16" style="594" customWidth="1"/>
    <col min="11" max="11" width="15" style="594" customWidth="1"/>
    <col min="12" max="12" width="25.36328125" style="594" customWidth="1"/>
    <col min="13" max="13" width="41.54296875" style="594" customWidth="1"/>
    <col min="14" max="14" width="17.90625" style="594" customWidth="1"/>
    <col min="15" max="15" width="21.54296875" style="594" customWidth="1"/>
    <col min="16" max="16" width="21.6328125" style="594" customWidth="1"/>
    <col min="17" max="26" width="17.6328125" style="594" customWidth="1"/>
    <col min="27" max="27" width="24" style="594" customWidth="1"/>
    <col min="28" max="31" width="11.453125" style="594"/>
    <col min="32" max="43" width="11.54296875" style="594" bestFit="1" customWidth="1"/>
    <col min="44" max="44" width="14.08984375" style="594" customWidth="1"/>
    <col min="45" max="45" width="27" style="594" customWidth="1"/>
    <col min="46" max="49" width="11.453125" style="594"/>
    <col min="50" max="62" width="11.54296875" style="594" bestFit="1" customWidth="1"/>
    <col min="63" max="63" width="25" style="594" customWidth="1"/>
    <col min="64" max="64" width="24.6328125" style="594" customWidth="1"/>
    <col min="65" max="67" width="11.453125" style="594"/>
    <col min="68" max="68" width="11.54296875" style="594" bestFit="1" customWidth="1"/>
    <col min="69" max="69" width="14.453125" style="594" bestFit="1" customWidth="1"/>
    <col min="70" max="70" width="11.6328125" style="594" customWidth="1"/>
    <col min="71" max="71" width="18.6328125" style="594" customWidth="1"/>
    <col min="72" max="73" width="11.453125" style="594"/>
    <col min="74" max="75" width="11.54296875" style="594" bestFit="1" customWidth="1"/>
    <col min="76" max="76" width="11.453125" style="594"/>
    <col min="77" max="77" width="12.6328125" style="594" bestFit="1" customWidth="1"/>
    <col min="78" max="78" width="12.08984375" style="594" bestFit="1" customWidth="1"/>
    <col min="79" max="80" width="11.453125" style="594"/>
    <col min="81" max="81" width="11.54296875" style="594" bestFit="1" customWidth="1"/>
    <col min="82" max="83" width="11.453125" style="594"/>
    <col min="84" max="84" width="12.6328125" style="594" bestFit="1" customWidth="1"/>
    <col min="85" max="85" width="12.08984375" style="594" bestFit="1" customWidth="1"/>
    <col min="86" max="16384" width="11.453125" style="594"/>
  </cols>
  <sheetData>
    <row r="2" spans="1:16" ht="69" customHeight="1" x14ac:dyDescent="0.3">
      <c r="A2" s="1078"/>
      <c r="B2" s="1078"/>
      <c r="C2" s="1078"/>
      <c r="D2" s="1078"/>
      <c r="E2" s="593"/>
      <c r="F2" s="593"/>
      <c r="G2" s="593"/>
      <c r="H2" s="593"/>
      <c r="I2" s="593"/>
      <c r="J2" s="593"/>
      <c r="K2" s="593"/>
      <c r="L2" s="593"/>
      <c r="M2" s="593"/>
      <c r="N2" s="593"/>
      <c r="O2" s="593"/>
    </row>
    <row r="3" spans="1:16" ht="18" x14ac:dyDescent="0.3">
      <c r="A3" s="1210" t="s">
        <v>24</v>
      </c>
      <c r="B3" s="1211"/>
      <c r="C3" s="1211"/>
      <c r="D3" s="1211"/>
      <c r="E3" s="1211"/>
      <c r="F3" s="1211"/>
      <c r="G3" s="1211"/>
      <c r="H3" s="1211"/>
      <c r="I3" s="1211"/>
      <c r="J3" s="1211"/>
      <c r="K3" s="1211"/>
      <c r="L3" s="1211"/>
      <c r="M3" s="1211"/>
      <c r="N3" s="1211"/>
      <c r="O3" s="1211"/>
      <c r="P3" s="1211"/>
    </row>
    <row r="5" spans="1:16" s="595" customFormat="1" ht="15.5" customHeight="1" x14ac:dyDescent="0.35">
      <c r="A5" s="1203" t="s">
        <v>0</v>
      </c>
      <c r="B5" s="1203"/>
      <c r="C5" s="1203" t="s">
        <v>26</v>
      </c>
      <c r="D5" s="1203" t="s">
        <v>1</v>
      </c>
      <c r="E5" s="1203" t="s">
        <v>2</v>
      </c>
      <c r="F5" s="1203" t="s">
        <v>3</v>
      </c>
      <c r="G5" s="1203" t="s">
        <v>1185</v>
      </c>
      <c r="H5" s="1203"/>
      <c r="I5" s="1203"/>
      <c r="J5" s="1204" t="s">
        <v>4</v>
      </c>
      <c r="K5" s="1204" t="s">
        <v>5</v>
      </c>
      <c r="L5" s="1206" t="s">
        <v>1186</v>
      </c>
      <c r="M5" s="1207"/>
      <c r="N5" s="1204" t="s">
        <v>6</v>
      </c>
      <c r="O5" s="1204" t="s">
        <v>7</v>
      </c>
      <c r="P5" s="754" t="s">
        <v>1222</v>
      </c>
    </row>
    <row r="6" spans="1:16" s="595" customFormat="1" ht="56.25" customHeight="1" x14ac:dyDescent="0.35">
      <c r="A6" s="1203"/>
      <c r="B6" s="1203"/>
      <c r="C6" s="1203"/>
      <c r="D6" s="1203"/>
      <c r="E6" s="1203"/>
      <c r="F6" s="1203"/>
      <c r="G6" s="651" t="s">
        <v>31</v>
      </c>
      <c r="H6" s="651" t="s">
        <v>32</v>
      </c>
      <c r="I6" s="651" t="s">
        <v>43</v>
      </c>
      <c r="J6" s="1205"/>
      <c r="K6" s="1205"/>
      <c r="L6" s="651" t="s">
        <v>47</v>
      </c>
      <c r="M6" s="651" t="s">
        <v>48</v>
      </c>
      <c r="N6" s="1205"/>
      <c r="O6" s="1205"/>
      <c r="P6" s="755"/>
    </row>
    <row r="7" spans="1:16" s="595" customFormat="1" ht="66" customHeight="1" x14ac:dyDescent="0.35">
      <c r="A7" s="1203"/>
      <c r="B7" s="1203"/>
      <c r="C7" s="1203"/>
      <c r="D7" s="1203"/>
      <c r="E7" s="1203"/>
      <c r="F7" s="1203"/>
      <c r="G7" s="652" t="s">
        <v>35</v>
      </c>
      <c r="H7" s="653" t="s">
        <v>37</v>
      </c>
      <c r="I7" s="652" t="s">
        <v>40</v>
      </c>
      <c r="J7" s="1205"/>
      <c r="K7" s="1205"/>
      <c r="L7" s="572" t="s">
        <v>44</v>
      </c>
      <c r="M7" s="653" t="s">
        <v>52</v>
      </c>
      <c r="N7" s="1205"/>
      <c r="O7" s="1205"/>
      <c r="P7" s="755"/>
    </row>
    <row r="8" spans="1:16" s="595" customFormat="1" ht="61.5" customHeight="1" x14ac:dyDescent="0.35">
      <c r="A8" s="1203"/>
      <c r="B8" s="1203"/>
      <c r="C8" s="1203"/>
      <c r="D8" s="1203"/>
      <c r="E8" s="1203"/>
      <c r="F8" s="1203"/>
      <c r="G8" s="652" t="s">
        <v>34</v>
      </c>
      <c r="H8" s="653" t="s">
        <v>38</v>
      </c>
      <c r="I8" s="652" t="s">
        <v>41</v>
      </c>
      <c r="J8" s="1205"/>
      <c r="K8" s="1205"/>
      <c r="L8" s="573" t="s">
        <v>45</v>
      </c>
      <c r="M8" s="653" t="s">
        <v>50</v>
      </c>
      <c r="N8" s="1205"/>
      <c r="O8" s="1205"/>
      <c r="P8" s="755"/>
    </row>
    <row r="9" spans="1:16" s="595" customFormat="1" ht="79.5" customHeight="1" x14ac:dyDescent="0.35">
      <c r="A9" s="1203"/>
      <c r="B9" s="1203"/>
      <c r="C9" s="1204"/>
      <c r="D9" s="1204"/>
      <c r="E9" s="1204"/>
      <c r="F9" s="1204"/>
      <c r="G9" s="654" t="s">
        <v>36</v>
      </c>
      <c r="H9" s="655" t="s">
        <v>39</v>
      </c>
      <c r="I9" s="654" t="s">
        <v>42</v>
      </c>
      <c r="J9" s="1205"/>
      <c r="K9" s="1205"/>
      <c r="L9" s="585" t="s">
        <v>46</v>
      </c>
      <c r="M9" s="655" t="s">
        <v>51</v>
      </c>
      <c r="N9" s="1205"/>
      <c r="O9" s="1205"/>
      <c r="P9" s="756"/>
    </row>
    <row r="10" spans="1:16" ht="63.5" customHeight="1" x14ac:dyDescent="0.3">
      <c r="A10" s="728"/>
      <c r="B10" s="730"/>
      <c r="C10" s="1202"/>
      <c r="D10" s="762"/>
      <c r="E10" s="763"/>
      <c r="F10" s="763"/>
      <c r="G10" s="763"/>
      <c r="H10" s="763"/>
      <c r="I10" s="763"/>
      <c r="J10" s="763"/>
      <c r="K10" s="1106"/>
      <c r="L10" s="612" t="s">
        <v>44</v>
      </c>
      <c r="M10" s="613"/>
      <c r="N10" s="737"/>
      <c r="O10" s="737"/>
      <c r="P10" s="1208"/>
    </row>
    <row r="11" spans="1:16" ht="63.5" customHeight="1" x14ac:dyDescent="0.3">
      <c r="A11" s="731"/>
      <c r="B11" s="733"/>
      <c r="C11" s="1202"/>
      <c r="D11" s="762"/>
      <c r="E11" s="763"/>
      <c r="F11" s="763"/>
      <c r="G11" s="763"/>
      <c r="H11" s="763"/>
      <c r="I11" s="763"/>
      <c r="J11" s="763"/>
      <c r="K11" s="791"/>
      <c r="L11" s="612" t="s">
        <v>45</v>
      </c>
      <c r="M11" s="577"/>
      <c r="N11" s="737"/>
      <c r="O11" s="737"/>
      <c r="P11" s="1209"/>
    </row>
    <row r="12" spans="1:16" ht="63.5" customHeight="1" x14ac:dyDescent="0.3">
      <c r="A12" s="731"/>
      <c r="B12" s="733"/>
      <c r="C12" s="1202"/>
      <c r="D12" s="762"/>
      <c r="E12" s="763"/>
      <c r="F12" s="763"/>
      <c r="G12" s="763"/>
      <c r="H12" s="763"/>
      <c r="I12" s="763"/>
      <c r="J12" s="763"/>
      <c r="K12" s="792"/>
      <c r="L12" s="614" t="s">
        <v>46</v>
      </c>
      <c r="M12" s="578"/>
      <c r="N12" s="737"/>
      <c r="O12" s="737"/>
      <c r="P12" s="1209"/>
    </row>
    <row r="13" spans="1:16" ht="63.5" customHeight="1" x14ac:dyDescent="0.3">
      <c r="A13" s="731"/>
      <c r="B13" s="733"/>
      <c r="C13" s="1202"/>
      <c r="D13" s="787"/>
      <c r="E13" s="737"/>
      <c r="F13" s="737"/>
      <c r="G13" s="737"/>
      <c r="H13" s="737"/>
      <c r="I13" s="737"/>
      <c r="J13" s="737"/>
      <c r="K13" s="818"/>
      <c r="L13" s="612" t="s">
        <v>44</v>
      </c>
      <c r="M13" s="676"/>
      <c r="N13" s="737"/>
      <c r="O13" s="737"/>
      <c r="P13" s="1208"/>
    </row>
    <row r="14" spans="1:16" ht="63.5" customHeight="1" x14ac:dyDescent="0.3">
      <c r="A14" s="731"/>
      <c r="B14" s="733"/>
      <c r="C14" s="1202"/>
      <c r="D14" s="787"/>
      <c r="E14" s="737"/>
      <c r="F14" s="737"/>
      <c r="G14" s="737"/>
      <c r="H14" s="737"/>
      <c r="I14" s="737"/>
      <c r="J14" s="737"/>
      <c r="K14" s="1118"/>
      <c r="L14" s="612" t="s">
        <v>45</v>
      </c>
      <c r="M14" s="577"/>
      <c r="N14" s="737"/>
      <c r="O14" s="737"/>
      <c r="P14" s="1209"/>
    </row>
    <row r="15" spans="1:16" ht="63.5" customHeight="1" x14ac:dyDescent="0.3">
      <c r="A15" s="731"/>
      <c r="B15" s="733"/>
      <c r="C15" s="1202"/>
      <c r="D15" s="787"/>
      <c r="E15" s="737"/>
      <c r="F15" s="737"/>
      <c r="G15" s="737"/>
      <c r="H15" s="737"/>
      <c r="I15" s="737"/>
      <c r="J15" s="737"/>
      <c r="K15" s="1119"/>
      <c r="L15" s="614" t="s">
        <v>46</v>
      </c>
      <c r="M15" s="578"/>
      <c r="N15" s="737"/>
      <c r="O15" s="737"/>
      <c r="P15" s="1209"/>
    </row>
    <row r="16" spans="1:16" ht="63.5" customHeight="1" x14ac:dyDescent="0.3">
      <c r="A16" s="731"/>
      <c r="B16" s="733"/>
      <c r="C16" s="1202"/>
      <c r="D16" s="762"/>
      <c r="E16" s="763"/>
      <c r="F16" s="763"/>
      <c r="G16" s="763"/>
      <c r="H16" s="763"/>
      <c r="I16" s="763"/>
      <c r="J16" s="763"/>
      <c r="K16" s="765"/>
      <c r="L16" s="612" t="s">
        <v>44</v>
      </c>
      <c r="M16" s="613"/>
      <c r="N16" s="737"/>
      <c r="O16" s="737"/>
      <c r="P16" s="1208"/>
    </row>
    <row r="17" spans="1:16" ht="63.5" customHeight="1" x14ac:dyDescent="0.3">
      <c r="A17" s="731"/>
      <c r="B17" s="733"/>
      <c r="C17" s="1202"/>
      <c r="D17" s="762"/>
      <c r="E17" s="763"/>
      <c r="F17" s="763"/>
      <c r="G17" s="763"/>
      <c r="H17" s="763"/>
      <c r="I17" s="763"/>
      <c r="J17" s="763"/>
      <c r="K17" s="766"/>
      <c r="L17" s="612" t="s">
        <v>45</v>
      </c>
      <c r="M17" s="577"/>
      <c r="N17" s="737"/>
      <c r="O17" s="737"/>
      <c r="P17" s="1209"/>
    </row>
    <row r="18" spans="1:16" ht="63.5" customHeight="1" x14ac:dyDescent="0.3">
      <c r="A18" s="731"/>
      <c r="B18" s="733"/>
      <c r="C18" s="1202"/>
      <c r="D18" s="762"/>
      <c r="E18" s="763"/>
      <c r="F18" s="763"/>
      <c r="G18" s="763"/>
      <c r="H18" s="763"/>
      <c r="I18" s="763"/>
      <c r="J18" s="763"/>
      <c r="K18" s="767"/>
      <c r="L18" s="614" t="s">
        <v>46</v>
      </c>
      <c r="M18" s="578"/>
      <c r="N18" s="737"/>
      <c r="O18" s="737"/>
      <c r="P18" s="1209"/>
    </row>
    <row r="19" spans="1:16" ht="63.5" customHeight="1" x14ac:dyDescent="0.3">
      <c r="A19" s="731"/>
      <c r="B19" s="733"/>
      <c r="C19" s="1202"/>
      <c r="D19" s="787"/>
      <c r="E19" s="737"/>
      <c r="F19" s="737"/>
      <c r="G19" s="737"/>
      <c r="H19" s="737"/>
      <c r="I19" s="737"/>
      <c r="J19" s="737"/>
      <c r="K19" s="818"/>
      <c r="L19" s="612" t="s">
        <v>44</v>
      </c>
      <c r="M19" s="613"/>
      <c r="N19" s="737"/>
      <c r="O19" s="737"/>
      <c r="P19" s="1208"/>
    </row>
    <row r="20" spans="1:16" ht="63.5" customHeight="1" x14ac:dyDescent="0.3">
      <c r="A20" s="731"/>
      <c r="B20" s="733"/>
      <c r="C20" s="1202"/>
      <c r="D20" s="787"/>
      <c r="E20" s="737"/>
      <c r="F20" s="737"/>
      <c r="G20" s="737"/>
      <c r="H20" s="737"/>
      <c r="I20" s="737"/>
      <c r="J20" s="737"/>
      <c r="K20" s="1118"/>
      <c r="L20" s="612" t="s">
        <v>45</v>
      </c>
      <c r="M20" s="577"/>
      <c r="N20" s="737"/>
      <c r="O20" s="737"/>
      <c r="P20" s="1209"/>
    </row>
    <row r="21" spans="1:16" ht="63.5" customHeight="1" x14ac:dyDescent="0.3">
      <c r="A21" s="731"/>
      <c r="B21" s="733"/>
      <c r="C21" s="1202"/>
      <c r="D21" s="787"/>
      <c r="E21" s="737"/>
      <c r="F21" s="737"/>
      <c r="G21" s="737"/>
      <c r="H21" s="737"/>
      <c r="I21" s="737"/>
      <c r="J21" s="737"/>
      <c r="K21" s="1119"/>
      <c r="L21" s="614" t="s">
        <v>46</v>
      </c>
      <c r="M21" s="578"/>
      <c r="N21" s="737"/>
      <c r="O21" s="737"/>
      <c r="P21" s="1209"/>
    </row>
    <row r="22" spans="1:16" ht="63.5" customHeight="1" x14ac:dyDescent="0.3">
      <c r="A22" s="731"/>
      <c r="B22" s="733"/>
      <c r="C22" s="1202"/>
      <c r="D22" s="787"/>
      <c r="E22" s="737"/>
      <c r="F22" s="737"/>
      <c r="G22" s="737"/>
      <c r="H22" s="737"/>
      <c r="I22" s="737"/>
      <c r="J22" s="737"/>
      <c r="K22" s="1196"/>
      <c r="L22" s="612" t="s">
        <v>44</v>
      </c>
      <c r="M22" s="613"/>
      <c r="N22" s="737"/>
      <c r="O22" s="737"/>
      <c r="P22" s="1208"/>
    </row>
    <row r="23" spans="1:16" ht="63.5" customHeight="1" x14ac:dyDescent="0.3">
      <c r="A23" s="731"/>
      <c r="B23" s="733"/>
      <c r="C23" s="1202"/>
      <c r="D23" s="787"/>
      <c r="E23" s="737"/>
      <c r="F23" s="737"/>
      <c r="G23" s="737"/>
      <c r="H23" s="737"/>
      <c r="I23" s="737"/>
      <c r="J23" s="737"/>
      <c r="K23" s="1197"/>
      <c r="L23" s="612" t="s">
        <v>45</v>
      </c>
      <c r="M23" s="577"/>
      <c r="N23" s="737"/>
      <c r="O23" s="737"/>
      <c r="P23" s="1209"/>
    </row>
    <row r="24" spans="1:16" ht="63.5" customHeight="1" x14ac:dyDescent="0.3">
      <c r="A24" s="731"/>
      <c r="B24" s="733"/>
      <c r="C24" s="1202"/>
      <c r="D24" s="787"/>
      <c r="E24" s="737"/>
      <c r="F24" s="737"/>
      <c r="G24" s="737"/>
      <c r="H24" s="737"/>
      <c r="I24" s="737"/>
      <c r="J24" s="737"/>
      <c r="K24" s="1198"/>
      <c r="L24" s="614" t="s">
        <v>46</v>
      </c>
      <c r="M24" s="578"/>
      <c r="N24" s="737"/>
      <c r="O24" s="737"/>
      <c r="P24" s="1209"/>
    </row>
    <row r="25" spans="1:16" ht="63.5" customHeight="1" x14ac:dyDescent="0.3">
      <c r="A25" s="731"/>
      <c r="B25" s="733"/>
      <c r="C25" s="1199"/>
      <c r="D25" s="762"/>
      <c r="E25" s="763"/>
      <c r="F25" s="727"/>
      <c r="G25" s="763"/>
      <c r="H25" s="763"/>
      <c r="I25" s="763"/>
      <c r="J25" s="764"/>
      <c r="K25" s="790"/>
      <c r="L25" s="580" t="s">
        <v>44</v>
      </c>
      <c r="M25" s="576"/>
      <c r="N25" s="737"/>
      <c r="O25" s="724"/>
      <c r="P25" s="1208"/>
    </row>
    <row r="26" spans="1:16" ht="63.5" customHeight="1" x14ac:dyDescent="0.3">
      <c r="A26" s="731"/>
      <c r="B26" s="733"/>
      <c r="C26" s="1200"/>
      <c r="D26" s="762"/>
      <c r="E26" s="763"/>
      <c r="F26" s="763"/>
      <c r="G26" s="763"/>
      <c r="H26" s="763"/>
      <c r="I26" s="763"/>
      <c r="J26" s="764"/>
      <c r="K26" s="791"/>
      <c r="L26" s="579" t="s">
        <v>45</v>
      </c>
      <c r="M26" s="577"/>
      <c r="N26" s="737"/>
      <c r="O26" s="724"/>
      <c r="P26" s="1209"/>
    </row>
    <row r="27" spans="1:16" ht="63.5" customHeight="1" x14ac:dyDescent="0.3">
      <c r="A27" s="731"/>
      <c r="B27" s="733"/>
      <c r="C27" s="1201"/>
      <c r="D27" s="762"/>
      <c r="E27" s="763"/>
      <c r="F27" s="763"/>
      <c r="G27" s="763"/>
      <c r="H27" s="763"/>
      <c r="I27" s="763"/>
      <c r="J27" s="764"/>
      <c r="K27" s="792"/>
      <c r="L27" s="579" t="s">
        <v>46</v>
      </c>
      <c r="M27" s="578"/>
      <c r="N27" s="737"/>
      <c r="O27" s="724"/>
      <c r="P27" s="1209"/>
    </row>
    <row r="28" spans="1:16" ht="63.5" customHeight="1" x14ac:dyDescent="0.3">
      <c r="A28" s="731"/>
      <c r="B28" s="733"/>
      <c r="C28" s="1199"/>
      <c r="D28" s="762"/>
      <c r="E28" s="763"/>
      <c r="F28" s="727"/>
      <c r="G28" s="763"/>
      <c r="H28" s="763"/>
      <c r="I28" s="763"/>
      <c r="J28" s="764"/>
      <c r="K28" s="790"/>
      <c r="L28" s="580" t="s">
        <v>44</v>
      </c>
      <c r="M28" s="584"/>
      <c r="N28" s="737"/>
      <c r="O28" s="724"/>
      <c r="P28" s="1208"/>
    </row>
    <row r="29" spans="1:16" ht="63.5" customHeight="1" x14ac:dyDescent="0.3">
      <c r="A29" s="731"/>
      <c r="B29" s="733"/>
      <c r="C29" s="1200"/>
      <c r="D29" s="762"/>
      <c r="E29" s="763"/>
      <c r="F29" s="763"/>
      <c r="G29" s="763"/>
      <c r="H29" s="763"/>
      <c r="I29" s="763"/>
      <c r="J29" s="764"/>
      <c r="K29" s="1118"/>
      <c r="L29" s="579" t="s">
        <v>45</v>
      </c>
      <c r="M29" s="577"/>
      <c r="N29" s="737"/>
      <c r="O29" s="724"/>
      <c r="P29" s="1209"/>
    </row>
    <row r="30" spans="1:16" ht="63.5" customHeight="1" x14ac:dyDescent="0.3">
      <c r="A30" s="731"/>
      <c r="B30" s="733"/>
      <c r="C30" s="1201"/>
      <c r="D30" s="762"/>
      <c r="E30" s="763"/>
      <c r="F30" s="763"/>
      <c r="G30" s="763"/>
      <c r="H30" s="763"/>
      <c r="I30" s="763"/>
      <c r="J30" s="764"/>
      <c r="K30" s="1119"/>
      <c r="L30" s="579" t="s">
        <v>46</v>
      </c>
      <c r="M30" s="578"/>
      <c r="N30" s="737"/>
      <c r="O30" s="724"/>
      <c r="P30" s="1209"/>
    </row>
    <row r="31" spans="1:16" ht="63.5" customHeight="1" x14ac:dyDescent="0.3">
      <c r="A31" s="731"/>
      <c r="B31" s="733"/>
      <c r="C31" s="1199"/>
      <c r="D31" s="787"/>
      <c r="E31" s="737"/>
      <c r="F31" s="740"/>
      <c r="G31" s="737"/>
      <c r="H31" s="737"/>
      <c r="I31" s="737"/>
      <c r="J31" s="796"/>
      <c r="K31" s="765"/>
      <c r="L31" s="575" t="s">
        <v>44</v>
      </c>
      <c r="M31" s="576"/>
      <c r="N31" s="737"/>
      <c r="O31" s="724"/>
      <c r="P31" s="1208"/>
    </row>
    <row r="32" spans="1:16" ht="63.5" customHeight="1" x14ac:dyDescent="0.3">
      <c r="A32" s="731"/>
      <c r="B32" s="733"/>
      <c r="C32" s="1200"/>
      <c r="D32" s="787"/>
      <c r="E32" s="737"/>
      <c r="F32" s="737"/>
      <c r="G32" s="737"/>
      <c r="H32" s="737"/>
      <c r="I32" s="737"/>
      <c r="J32" s="796"/>
      <c r="K32" s="766"/>
      <c r="L32" s="575" t="s">
        <v>45</v>
      </c>
      <c r="M32" s="577"/>
      <c r="N32" s="737"/>
      <c r="O32" s="724"/>
      <c r="P32" s="1209"/>
    </row>
    <row r="33" spans="1:16" ht="63.5" customHeight="1" x14ac:dyDescent="0.3">
      <c r="A33" s="731"/>
      <c r="B33" s="733"/>
      <c r="C33" s="1201"/>
      <c r="D33" s="787"/>
      <c r="E33" s="737"/>
      <c r="F33" s="737"/>
      <c r="G33" s="737"/>
      <c r="H33" s="737"/>
      <c r="I33" s="737"/>
      <c r="J33" s="796"/>
      <c r="K33" s="767"/>
      <c r="L33" s="628" t="s">
        <v>46</v>
      </c>
      <c r="M33" s="578"/>
      <c r="N33" s="737"/>
      <c r="O33" s="724"/>
      <c r="P33" s="1209"/>
    </row>
    <row r="34" spans="1:16" ht="63.5" customHeight="1" x14ac:dyDescent="0.3">
      <c r="A34" s="731"/>
      <c r="B34" s="733"/>
      <c r="C34" s="1202"/>
      <c r="D34" s="787"/>
      <c r="E34" s="788"/>
      <c r="F34" s="789"/>
      <c r="G34" s="723"/>
      <c r="H34" s="737"/>
      <c r="I34" s="793"/>
      <c r="J34" s="794"/>
      <c r="K34" s="1106"/>
      <c r="L34" s="579" t="s">
        <v>44</v>
      </c>
      <c r="M34" s="576"/>
      <c r="N34" s="737"/>
      <c r="O34" s="737"/>
      <c r="P34" s="1208"/>
    </row>
    <row r="35" spans="1:16" ht="63.5" customHeight="1" x14ac:dyDescent="0.3">
      <c r="A35" s="731"/>
      <c r="B35" s="733"/>
      <c r="C35" s="1202"/>
      <c r="D35" s="787"/>
      <c r="E35" s="788"/>
      <c r="F35" s="789"/>
      <c r="G35" s="723"/>
      <c r="H35" s="737"/>
      <c r="I35" s="793"/>
      <c r="J35" s="794"/>
      <c r="K35" s="791"/>
      <c r="L35" s="579" t="s">
        <v>45</v>
      </c>
      <c r="M35" s="577"/>
      <c r="N35" s="737"/>
      <c r="O35" s="737"/>
      <c r="P35" s="1209"/>
    </row>
    <row r="36" spans="1:16" ht="63.5" customHeight="1" x14ac:dyDescent="0.3">
      <c r="A36" s="731"/>
      <c r="B36" s="733"/>
      <c r="C36" s="1202"/>
      <c r="D36" s="787"/>
      <c r="E36" s="788"/>
      <c r="F36" s="789"/>
      <c r="G36" s="723"/>
      <c r="H36" s="737"/>
      <c r="I36" s="793"/>
      <c r="J36" s="794"/>
      <c r="K36" s="792"/>
      <c r="L36" s="579" t="s">
        <v>46</v>
      </c>
      <c r="M36" s="578"/>
      <c r="N36" s="737"/>
      <c r="O36" s="737"/>
      <c r="P36" s="1209"/>
    </row>
    <row r="37" spans="1:16" s="2" customFormat="1" ht="63.5" customHeight="1" x14ac:dyDescent="0.25">
      <c r="A37" s="731"/>
      <c r="B37" s="733"/>
      <c r="C37" s="759"/>
      <c r="D37" s="787"/>
      <c r="E37" s="737"/>
      <c r="F37" s="740"/>
      <c r="G37" s="737"/>
      <c r="H37" s="737"/>
      <c r="I37" s="737"/>
      <c r="J37" s="796"/>
      <c r="K37" s="765"/>
      <c r="L37" s="580" t="s">
        <v>44</v>
      </c>
      <c r="M37" s="576"/>
      <c r="N37" s="737"/>
      <c r="O37" s="724"/>
      <c r="P37" s="1208"/>
    </row>
    <row r="38" spans="1:16" s="2" customFormat="1" ht="63.5" customHeight="1" x14ac:dyDescent="0.25">
      <c r="A38" s="731"/>
      <c r="B38" s="733"/>
      <c r="C38" s="760"/>
      <c r="D38" s="787"/>
      <c r="E38" s="737"/>
      <c r="F38" s="737"/>
      <c r="G38" s="737"/>
      <c r="H38" s="737"/>
      <c r="I38" s="737"/>
      <c r="J38" s="796"/>
      <c r="K38" s="766"/>
      <c r="L38" s="579" t="s">
        <v>45</v>
      </c>
      <c r="M38" s="577"/>
      <c r="N38" s="737"/>
      <c r="O38" s="724"/>
      <c r="P38" s="1209"/>
    </row>
    <row r="39" spans="1:16" s="2" customFormat="1" ht="63.5" customHeight="1" x14ac:dyDescent="0.25">
      <c r="A39" s="734"/>
      <c r="B39" s="736"/>
      <c r="C39" s="761"/>
      <c r="D39" s="787"/>
      <c r="E39" s="737"/>
      <c r="F39" s="737"/>
      <c r="G39" s="737"/>
      <c r="H39" s="737"/>
      <c r="I39" s="737"/>
      <c r="J39" s="796"/>
      <c r="K39" s="767"/>
      <c r="L39" s="579" t="s">
        <v>46</v>
      </c>
      <c r="M39" s="578"/>
      <c r="N39" s="737"/>
      <c r="O39" s="724"/>
      <c r="P39" s="1209"/>
    </row>
    <row r="40" spans="1:16" x14ac:dyDescent="0.3">
      <c r="A40" s="596"/>
      <c r="B40" s="596"/>
    </row>
  </sheetData>
  <mergeCells count="115">
    <mergeCell ref="P34:P36"/>
    <mergeCell ref="P37:P39"/>
    <mergeCell ref="A3:P3"/>
    <mergeCell ref="P5:P9"/>
    <mergeCell ref="P10:P12"/>
    <mergeCell ref="P13:P15"/>
    <mergeCell ref="P16:P18"/>
    <mergeCell ref="P19:P21"/>
    <mergeCell ref="P22:P24"/>
    <mergeCell ref="P25:P27"/>
    <mergeCell ref="P28:P30"/>
    <mergeCell ref="P31:P33"/>
    <mergeCell ref="D13:D15"/>
    <mergeCell ref="E13:E15"/>
    <mergeCell ref="F13:F15"/>
    <mergeCell ref="G13:I15"/>
    <mergeCell ref="J13:J15"/>
    <mergeCell ref="K13:K15"/>
    <mergeCell ref="N13:N15"/>
    <mergeCell ref="E10:E12"/>
    <mergeCell ref="F10:F12"/>
    <mergeCell ref="G10:I12"/>
    <mergeCell ref="J10:J12"/>
    <mergeCell ref="K10:K12"/>
    <mergeCell ref="G16:I18"/>
    <mergeCell ref="J16:J18"/>
    <mergeCell ref="K16:K18"/>
    <mergeCell ref="N16:N18"/>
    <mergeCell ref="O16:O18"/>
    <mergeCell ref="A2:D2"/>
    <mergeCell ref="A5:B9"/>
    <mergeCell ref="C5:C9"/>
    <mergeCell ref="D5:D9"/>
    <mergeCell ref="E5:E9"/>
    <mergeCell ref="F5:F9"/>
    <mergeCell ref="G5:I5"/>
    <mergeCell ref="J5:J9"/>
    <mergeCell ref="K5:K9"/>
    <mergeCell ref="L5:M5"/>
    <mergeCell ref="N5:N9"/>
    <mergeCell ref="O5:O9"/>
    <mergeCell ref="C10:C12"/>
    <mergeCell ref="D10:D12"/>
    <mergeCell ref="N10:N12"/>
    <mergeCell ref="O10:O12"/>
    <mergeCell ref="O13:O15"/>
    <mergeCell ref="C13:C15"/>
    <mergeCell ref="C16:C18"/>
    <mergeCell ref="O31:O33"/>
    <mergeCell ref="C34:C36"/>
    <mergeCell ref="D34:D36"/>
    <mergeCell ref="E34:E36"/>
    <mergeCell ref="F34:F36"/>
    <mergeCell ref="C31:C33"/>
    <mergeCell ref="D31:D33"/>
    <mergeCell ref="E31:E33"/>
    <mergeCell ref="F31:F33"/>
    <mergeCell ref="C22:C24"/>
    <mergeCell ref="D22:D24"/>
    <mergeCell ref="E22:E24"/>
    <mergeCell ref="F22:F24"/>
    <mergeCell ref="O28:O30"/>
    <mergeCell ref="C25:C27"/>
    <mergeCell ref="D25:D27"/>
    <mergeCell ref="K25:K27"/>
    <mergeCell ref="N25:N27"/>
    <mergeCell ref="O25:O27"/>
    <mergeCell ref="A10:B39"/>
    <mergeCell ref="G22:I24"/>
    <mergeCell ref="J22:J24"/>
    <mergeCell ref="K22:K24"/>
    <mergeCell ref="N22:N24"/>
    <mergeCell ref="C28:C30"/>
    <mergeCell ref="D28:D30"/>
    <mergeCell ref="E28:E30"/>
    <mergeCell ref="F28:F30"/>
    <mergeCell ref="G28:I30"/>
    <mergeCell ref="J28:J30"/>
    <mergeCell ref="K28:K30"/>
    <mergeCell ref="N28:N30"/>
    <mergeCell ref="E25:E27"/>
    <mergeCell ref="F25:F27"/>
    <mergeCell ref="G25:I27"/>
    <mergeCell ref="J25:J27"/>
    <mergeCell ref="G34:I36"/>
    <mergeCell ref="J34:J36"/>
    <mergeCell ref="K34:K36"/>
    <mergeCell ref="F16:F18"/>
    <mergeCell ref="C37:C39"/>
    <mergeCell ref="C19:C21"/>
    <mergeCell ref="D19:D21"/>
    <mergeCell ref="D37:D39"/>
    <mergeCell ref="E37:E39"/>
    <mergeCell ref="F37:F39"/>
    <mergeCell ref="G37:I39"/>
    <mergeCell ref="J37:J39"/>
    <mergeCell ref="K37:K39"/>
    <mergeCell ref="N37:N39"/>
    <mergeCell ref="O37:O39"/>
    <mergeCell ref="D16:D18"/>
    <mergeCell ref="E16:E18"/>
    <mergeCell ref="O22:O24"/>
    <mergeCell ref="E19:E21"/>
    <mergeCell ref="F19:F21"/>
    <mergeCell ref="G19:I21"/>
    <mergeCell ref="J19:J21"/>
    <mergeCell ref="K19:K21"/>
    <mergeCell ref="N19:N21"/>
    <mergeCell ref="O19:O21"/>
    <mergeCell ref="N34:N36"/>
    <mergeCell ref="O34:O36"/>
    <mergeCell ref="G31:I33"/>
    <mergeCell ref="J31:J33"/>
    <mergeCell ref="K31:K33"/>
    <mergeCell ref="N31:N33"/>
  </mergeCells>
  <conditionalFormatting sqref="P10:P12">
    <cfRule type="cellIs" dxfId="9" priority="2" operator="between">
      <formula>0.7</formula>
      <formula>0.94</formula>
    </cfRule>
    <cfRule type="cellIs" dxfId="8" priority="3" operator="greaterThan">
      <formula>94</formula>
    </cfRule>
  </conditionalFormatting>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08
Hoja 8. Indicadores Proceso Gestión de Recursos e Infraestructura
Página &amp;P de &amp;N</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rgb="FF00B050"/>
  </sheetPr>
  <dimension ref="A1:BQ138"/>
  <sheetViews>
    <sheetView showGridLines="0" topLeftCell="A129" zoomScale="55" zoomScaleNormal="55" workbookViewId="0">
      <selection activeCell="C134" sqref="C134:G134"/>
    </sheetView>
  </sheetViews>
  <sheetFormatPr baseColWidth="10" defaultColWidth="11.453125" defaultRowHeight="13.5" x14ac:dyDescent="0.25"/>
  <cols>
    <col min="1" max="2" width="24.08984375" style="2" customWidth="1"/>
    <col min="3" max="3" width="20.453125" style="2" customWidth="1"/>
    <col min="4" max="4" width="21.54296875" style="2" customWidth="1"/>
    <col min="5" max="5" width="21.36328125" style="2" customWidth="1"/>
    <col min="6" max="6" width="27" style="2" customWidth="1"/>
    <col min="7" max="7" width="22.453125" style="2" customWidth="1"/>
    <col min="8" max="8" width="37.90625" style="2" customWidth="1"/>
    <col min="9" max="9" width="30.08984375" style="2" customWidth="1"/>
    <col min="10" max="10" width="21.90625" style="2" customWidth="1"/>
    <col min="11" max="11" width="26.453125" style="2" customWidth="1"/>
    <col min="12" max="12" width="25.36328125" style="2" customWidth="1"/>
    <col min="13" max="13" width="52.453125" style="2" customWidth="1"/>
    <col min="14" max="15" width="24" style="2" customWidth="1"/>
    <col min="16" max="26" width="17.6328125" style="2" customWidth="1"/>
    <col min="27" max="27" width="24" style="2" customWidth="1"/>
    <col min="28" max="43" width="11.453125" style="2"/>
    <col min="44" max="44" width="14.08984375" style="2" customWidth="1"/>
    <col min="45" max="45" width="27" style="2" customWidth="1"/>
    <col min="46" max="62" width="11.453125" style="2"/>
    <col min="63" max="63" width="25" style="2" customWidth="1"/>
    <col min="64" max="64" width="24.6328125" style="2" customWidth="1"/>
    <col min="65" max="16384" width="11.453125" style="2"/>
  </cols>
  <sheetData>
    <row r="1" spans="1:15" ht="30.5" x14ac:dyDescent="0.25">
      <c r="A1" s="744"/>
      <c r="B1" s="744"/>
      <c r="C1" s="744"/>
      <c r="D1" s="744"/>
      <c r="E1" s="9"/>
      <c r="F1" s="9"/>
      <c r="G1" s="9"/>
      <c r="H1" s="9"/>
      <c r="I1" s="9"/>
      <c r="J1" s="9"/>
      <c r="K1" s="9"/>
      <c r="L1" s="9"/>
      <c r="M1" s="9"/>
      <c r="N1" s="9"/>
      <c r="O1" s="9"/>
    </row>
    <row r="2" spans="1:15" ht="17.5" x14ac:dyDescent="0.25">
      <c r="A2" s="1172" t="s">
        <v>24</v>
      </c>
      <c r="B2" s="1173"/>
      <c r="C2" s="1173"/>
      <c r="D2" s="1173"/>
      <c r="E2" s="1173"/>
      <c r="F2" s="1173"/>
      <c r="G2" s="1173"/>
      <c r="H2" s="1173"/>
      <c r="I2" s="1173"/>
      <c r="J2" s="1173"/>
      <c r="K2" s="1173"/>
      <c r="L2" s="1173"/>
      <c r="M2" s="1173"/>
      <c r="N2" s="1173"/>
      <c r="O2" s="1174"/>
    </row>
    <row r="4" spans="1:15" s="4" customFormat="1" ht="15" x14ac:dyDescent="0.35">
      <c r="A4" s="1175" t="s">
        <v>0</v>
      </c>
      <c r="B4" s="1175"/>
      <c r="C4" s="1175" t="s">
        <v>26</v>
      </c>
      <c r="D4" s="1175" t="s">
        <v>1</v>
      </c>
      <c r="E4" s="1175" t="s">
        <v>2</v>
      </c>
      <c r="F4" s="1175" t="s">
        <v>3</v>
      </c>
      <c r="G4" s="1175" t="s">
        <v>33</v>
      </c>
      <c r="H4" s="1175"/>
      <c r="I4" s="1175"/>
      <c r="J4" s="1176" t="s">
        <v>4</v>
      </c>
      <c r="K4" s="1176" t="s">
        <v>5</v>
      </c>
      <c r="L4" s="1178" t="s">
        <v>49</v>
      </c>
      <c r="M4" s="1179"/>
      <c r="N4" s="1176" t="s">
        <v>6</v>
      </c>
      <c r="O4" s="1176" t="s">
        <v>7</v>
      </c>
    </row>
    <row r="5" spans="1:15" s="4" customFormat="1" ht="30" x14ac:dyDescent="0.35">
      <c r="A5" s="1175"/>
      <c r="B5" s="1175"/>
      <c r="C5" s="1175"/>
      <c r="D5" s="1175"/>
      <c r="E5" s="1175"/>
      <c r="F5" s="1175"/>
      <c r="G5" s="293" t="s">
        <v>31</v>
      </c>
      <c r="H5" s="293" t="s">
        <v>32</v>
      </c>
      <c r="I5" s="293" t="s">
        <v>43</v>
      </c>
      <c r="J5" s="1177"/>
      <c r="K5" s="1177"/>
      <c r="L5" s="293" t="s">
        <v>47</v>
      </c>
      <c r="M5" s="293" t="s">
        <v>48</v>
      </c>
      <c r="N5" s="1177"/>
      <c r="O5" s="1177"/>
    </row>
    <row r="6" spans="1:15" s="4" customFormat="1" ht="54" x14ac:dyDescent="0.35">
      <c r="A6" s="1175"/>
      <c r="B6" s="1175"/>
      <c r="C6" s="1175"/>
      <c r="D6" s="1175"/>
      <c r="E6" s="1175"/>
      <c r="F6" s="1175"/>
      <c r="G6" s="14" t="s">
        <v>35</v>
      </c>
      <c r="H6" s="15" t="s">
        <v>37</v>
      </c>
      <c r="I6" s="14" t="s">
        <v>40</v>
      </c>
      <c r="J6" s="1177"/>
      <c r="K6" s="1177"/>
      <c r="L6" s="11" t="s">
        <v>44</v>
      </c>
      <c r="M6" s="15" t="s">
        <v>52</v>
      </c>
      <c r="N6" s="1177"/>
      <c r="O6" s="1177"/>
    </row>
    <row r="7" spans="1:15" s="4" customFormat="1" ht="54" x14ac:dyDescent="0.35">
      <c r="A7" s="1175"/>
      <c r="B7" s="1175"/>
      <c r="C7" s="1175"/>
      <c r="D7" s="1175"/>
      <c r="E7" s="1175"/>
      <c r="F7" s="1175"/>
      <c r="G7" s="14" t="s">
        <v>34</v>
      </c>
      <c r="H7" s="15" t="s">
        <v>38</v>
      </c>
      <c r="I7" s="14" t="s">
        <v>41</v>
      </c>
      <c r="J7" s="1177"/>
      <c r="K7" s="1177"/>
      <c r="L7" s="10" t="s">
        <v>45</v>
      </c>
      <c r="M7" s="15" t="s">
        <v>50</v>
      </c>
      <c r="N7" s="1177"/>
      <c r="O7" s="1177"/>
    </row>
    <row r="8" spans="1:15" s="4" customFormat="1" ht="40.5" x14ac:dyDescent="0.35">
      <c r="A8" s="1175"/>
      <c r="B8" s="1175"/>
      <c r="C8" s="1176"/>
      <c r="D8" s="1176"/>
      <c r="E8" s="1176"/>
      <c r="F8" s="1176"/>
      <c r="G8" s="109" t="s">
        <v>36</v>
      </c>
      <c r="H8" s="96" t="s">
        <v>39</v>
      </c>
      <c r="I8" s="109" t="s">
        <v>42</v>
      </c>
      <c r="J8" s="1177"/>
      <c r="K8" s="1177"/>
      <c r="L8" s="42" t="s">
        <v>46</v>
      </c>
      <c r="M8" s="96" t="s">
        <v>51</v>
      </c>
      <c r="N8" s="1177"/>
      <c r="O8" s="1177"/>
    </row>
    <row r="9" spans="1:15" ht="76.5" customHeight="1" x14ac:dyDescent="0.25">
      <c r="A9" s="1180" t="s">
        <v>377</v>
      </c>
      <c r="B9" s="1181"/>
      <c r="C9" s="829" t="s">
        <v>53</v>
      </c>
      <c r="D9" s="1236" t="s">
        <v>378</v>
      </c>
      <c r="E9" s="829" t="s">
        <v>379</v>
      </c>
      <c r="F9" s="829" t="s">
        <v>380</v>
      </c>
      <c r="G9" s="829" t="s">
        <v>34</v>
      </c>
      <c r="H9" s="829"/>
      <c r="I9" s="829"/>
      <c r="J9" s="829" t="s">
        <v>63</v>
      </c>
      <c r="K9" s="849" t="s">
        <v>65</v>
      </c>
      <c r="L9" s="110" t="s">
        <v>44</v>
      </c>
      <c r="M9" s="71" t="s">
        <v>65</v>
      </c>
      <c r="N9" s="829" t="s">
        <v>876</v>
      </c>
      <c r="O9" s="829" t="s">
        <v>98</v>
      </c>
    </row>
    <row r="10" spans="1:15" ht="67.5" customHeight="1" x14ac:dyDescent="0.25">
      <c r="A10" s="1182"/>
      <c r="B10" s="1183"/>
      <c r="C10" s="829"/>
      <c r="D10" s="1237"/>
      <c r="E10" s="829"/>
      <c r="F10" s="829"/>
      <c r="G10" s="829"/>
      <c r="H10" s="829"/>
      <c r="I10" s="829"/>
      <c r="J10" s="829"/>
      <c r="K10" s="849"/>
      <c r="L10" s="110" t="s">
        <v>45</v>
      </c>
      <c r="M10" s="24" t="s">
        <v>66</v>
      </c>
      <c r="N10" s="829"/>
      <c r="O10" s="829"/>
    </row>
    <row r="11" spans="1:15" ht="73.5" customHeight="1" x14ac:dyDescent="0.25">
      <c r="A11" s="1182"/>
      <c r="B11" s="1183"/>
      <c r="C11" s="829"/>
      <c r="D11" s="1238"/>
      <c r="E11" s="829"/>
      <c r="F11" s="829"/>
      <c r="G11" s="829"/>
      <c r="H11" s="829"/>
      <c r="I11" s="829"/>
      <c r="J11" s="829"/>
      <c r="K11" s="850"/>
      <c r="L11" s="111" t="s">
        <v>46</v>
      </c>
      <c r="M11" s="25" t="s">
        <v>61</v>
      </c>
      <c r="N11" s="829"/>
      <c r="O11" s="829"/>
    </row>
    <row r="12" spans="1:15" ht="42" customHeight="1" x14ac:dyDescent="0.25">
      <c r="A12" s="1182"/>
      <c r="B12" s="1183"/>
      <c r="C12" s="829" t="s">
        <v>110</v>
      </c>
      <c r="D12" s="1236" t="s">
        <v>381</v>
      </c>
      <c r="E12" s="829" t="s">
        <v>382</v>
      </c>
      <c r="F12" s="829" t="s">
        <v>383</v>
      </c>
      <c r="G12" s="829" t="s">
        <v>35</v>
      </c>
      <c r="H12" s="829"/>
      <c r="I12" s="829"/>
      <c r="J12" s="829" t="s">
        <v>384</v>
      </c>
      <c r="K12" s="1243" t="s">
        <v>385</v>
      </c>
      <c r="L12" s="110" t="s">
        <v>44</v>
      </c>
      <c r="M12" s="23" t="s">
        <v>386</v>
      </c>
      <c r="N12" s="829" t="s">
        <v>876</v>
      </c>
      <c r="O12" s="829" t="s">
        <v>98</v>
      </c>
    </row>
    <row r="13" spans="1:15" ht="42" customHeight="1" x14ac:dyDescent="0.25">
      <c r="A13" s="1182"/>
      <c r="B13" s="1183"/>
      <c r="C13" s="829"/>
      <c r="D13" s="1237"/>
      <c r="E13" s="829"/>
      <c r="F13" s="829"/>
      <c r="G13" s="829"/>
      <c r="H13" s="829"/>
      <c r="I13" s="829"/>
      <c r="J13" s="829"/>
      <c r="K13" s="1244"/>
      <c r="L13" s="110" t="s">
        <v>45</v>
      </c>
      <c r="M13" s="24" t="s">
        <v>387</v>
      </c>
      <c r="N13" s="829"/>
      <c r="O13" s="829"/>
    </row>
    <row r="14" spans="1:15" ht="42" customHeight="1" x14ac:dyDescent="0.25">
      <c r="A14" s="1182"/>
      <c r="B14" s="1183"/>
      <c r="C14" s="829"/>
      <c r="D14" s="1238"/>
      <c r="E14" s="829"/>
      <c r="F14" s="829"/>
      <c r="G14" s="829"/>
      <c r="H14" s="829"/>
      <c r="I14" s="829"/>
      <c r="J14" s="829"/>
      <c r="K14" s="1245"/>
      <c r="L14" s="110" t="s">
        <v>46</v>
      </c>
      <c r="M14" s="25" t="s">
        <v>388</v>
      </c>
      <c r="N14" s="829"/>
      <c r="O14" s="829"/>
    </row>
    <row r="15" spans="1:15" ht="38.25" customHeight="1" x14ac:dyDescent="0.25">
      <c r="A15" s="1182"/>
      <c r="B15" s="1183"/>
      <c r="C15" s="829" t="s">
        <v>110</v>
      </c>
      <c r="D15" s="1236" t="s">
        <v>389</v>
      </c>
      <c r="E15" s="829" t="s">
        <v>390</v>
      </c>
      <c r="F15" s="829" t="s">
        <v>391</v>
      </c>
      <c r="G15" s="829" t="s">
        <v>35</v>
      </c>
      <c r="H15" s="829"/>
      <c r="I15" s="829"/>
      <c r="J15" s="829" t="s">
        <v>384</v>
      </c>
      <c r="K15" s="1243" t="s">
        <v>392</v>
      </c>
      <c r="L15" s="110" t="s">
        <v>44</v>
      </c>
      <c r="M15" s="23" t="s">
        <v>393</v>
      </c>
      <c r="N15" s="829" t="s">
        <v>876</v>
      </c>
      <c r="O15" s="829" t="s">
        <v>98</v>
      </c>
    </row>
    <row r="16" spans="1:15" ht="38.25" customHeight="1" x14ac:dyDescent="0.25">
      <c r="A16" s="1182"/>
      <c r="B16" s="1183"/>
      <c r="C16" s="829"/>
      <c r="D16" s="1237"/>
      <c r="E16" s="829"/>
      <c r="F16" s="829"/>
      <c r="G16" s="829"/>
      <c r="H16" s="829"/>
      <c r="I16" s="829"/>
      <c r="J16" s="829"/>
      <c r="K16" s="1244"/>
      <c r="L16" s="110" t="s">
        <v>45</v>
      </c>
      <c r="M16" s="24" t="s">
        <v>394</v>
      </c>
      <c r="N16" s="829"/>
      <c r="O16" s="829"/>
    </row>
    <row r="17" spans="1:15" ht="38.25" customHeight="1" x14ac:dyDescent="0.25">
      <c r="A17" s="1182"/>
      <c r="B17" s="1183"/>
      <c r="C17" s="829"/>
      <c r="D17" s="1238"/>
      <c r="E17" s="829"/>
      <c r="F17" s="829"/>
      <c r="G17" s="829"/>
      <c r="H17" s="829"/>
      <c r="I17" s="829"/>
      <c r="J17" s="829"/>
      <c r="K17" s="1245"/>
      <c r="L17" s="110" t="s">
        <v>46</v>
      </c>
      <c r="M17" s="25" t="s">
        <v>388</v>
      </c>
      <c r="N17" s="829"/>
      <c r="O17" s="829"/>
    </row>
    <row r="18" spans="1:15" ht="36" customHeight="1" x14ac:dyDescent="0.25">
      <c r="A18" s="1182"/>
      <c r="B18" s="1183"/>
      <c r="C18" s="829" t="s">
        <v>110</v>
      </c>
      <c r="D18" s="1236" t="s">
        <v>395</v>
      </c>
      <c r="E18" s="829" t="s">
        <v>396</v>
      </c>
      <c r="F18" s="829" t="s">
        <v>397</v>
      </c>
      <c r="G18" s="829" t="s">
        <v>35</v>
      </c>
      <c r="H18" s="829"/>
      <c r="I18" s="829"/>
      <c r="J18" s="829" t="s">
        <v>384</v>
      </c>
      <c r="K18" s="1243" t="s">
        <v>392</v>
      </c>
      <c r="L18" s="110" t="s">
        <v>44</v>
      </c>
      <c r="M18" s="23" t="s">
        <v>393</v>
      </c>
      <c r="N18" s="829" t="s">
        <v>876</v>
      </c>
      <c r="O18" s="829" t="s">
        <v>98</v>
      </c>
    </row>
    <row r="19" spans="1:15" ht="36" customHeight="1" x14ac:dyDescent="0.25">
      <c r="A19" s="1182"/>
      <c r="B19" s="1183"/>
      <c r="C19" s="829"/>
      <c r="D19" s="1237"/>
      <c r="E19" s="829"/>
      <c r="F19" s="829"/>
      <c r="G19" s="829"/>
      <c r="H19" s="829"/>
      <c r="I19" s="829"/>
      <c r="J19" s="829"/>
      <c r="K19" s="1244"/>
      <c r="L19" s="110" t="s">
        <v>45</v>
      </c>
      <c r="M19" s="24" t="s">
        <v>394</v>
      </c>
      <c r="N19" s="829"/>
      <c r="O19" s="829"/>
    </row>
    <row r="20" spans="1:15" ht="36" customHeight="1" x14ac:dyDescent="0.25">
      <c r="A20" s="1182"/>
      <c r="B20" s="1183"/>
      <c r="C20" s="829"/>
      <c r="D20" s="1238"/>
      <c r="E20" s="829"/>
      <c r="F20" s="829"/>
      <c r="G20" s="829"/>
      <c r="H20" s="829"/>
      <c r="I20" s="829"/>
      <c r="J20" s="829"/>
      <c r="K20" s="1245"/>
      <c r="L20" s="112" t="s">
        <v>46</v>
      </c>
      <c r="M20" s="25" t="s">
        <v>388</v>
      </c>
      <c r="N20" s="829"/>
      <c r="O20" s="829"/>
    </row>
    <row r="21" spans="1:15" ht="60.75" customHeight="1" x14ac:dyDescent="0.25">
      <c r="A21" s="1182"/>
      <c r="B21" s="1183"/>
      <c r="C21" s="1242" t="s">
        <v>67</v>
      </c>
      <c r="D21" s="1046" t="s">
        <v>894</v>
      </c>
      <c r="E21" s="1241" t="s">
        <v>399</v>
      </c>
      <c r="F21" s="1239" t="s">
        <v>893</v>
      </c>
      <c r="G21" s="829" t="s">
        <v>34</v>
      </c>
      <c r="H21" s="829"/>
      <c r="I21" s="829"/>
      <c r="J21" s="1049" t="s">
        <v>63</v>
      </c>
      <c r="K21" s="1049" t="s">
        <v>892</v>
      </c>
      <c r="L21" s="110" t="s">
        <v>44</v>
      </c>
      <c r="M21" s="23" t="s">
        <v>891</v>
      </c>
      <c r="N21" s="829" t="s">
        <v>876</v>
      </c>
      <c r="O21" s="829" t="s">
        <v>98</v>
      </c>
    </row>
    <row r="22" spans="1:15" ht="68.25" customHeight="1" x14ac:dyDescent="0.25">
      <c r="A22" s="1182"/>
      <c r="B22" s="1183"/>
      <c r="C22" s="829"/>
      <c r="D22" s="1047"/>
      <c r="E22" s="1171"/>
      <c r="F22" s="1240"/>
      <c r="G22" s="829"/>
      <c r="H22" s="829"/>
      <c r="I22" s="829"/>
      <c r="J22" s="1050"/>
      <c r="K22" s="1050"/>
      <c r="L22" s="110" t="s">
        <v>45</v>
      </c>
      <c r="M22" s="24" t="s">
        <v>890</v>
      </c>
      <c r="N22" s="829"/>
      <c r="O22" s="829"/>
    </row>
    <row r="23" spans="1:15" ht="69.75" customHeight="1" x14ac:dyDescent="0.25">
      <c r="A23" s="1182"/>
      <c r="B23" s="1183"/>
      <c r="C23" s="829"/>
      <c r="D23" s="1048"/>
      <c r="E23" s="1171"/>
      <c r="F23" s="1241"/>
      <c r="G23" s="829"/>
      <c r="H23" s="829"/>
      <c r="I23" s="829"/>
      <c r="J23" s="1051"/>
      <c r="K23" s="1051"/>
      <c r="L23" s="112" t="s">
        <v>46</v>
      </c>
      <c r="M23" s="25" t="s">
        <v>889</v>
      </c>
      <c r="N23" s="829"/>
      <c r="O23" s="829"/>
    </row>
    <row r="24" spans="1:15" ht="50.25" customHeight="1" x14ac:dyDescent="0.25">
      <c r="A24" s="1182"/>
      <c r="B24" s="1183"/>
      <c r="C24" s="829" t="s">
        <v>67</v>
      </c>
      <c r="D24" s="1046" t="s">
        <v>888</v>
      </c>
      <c r="E24" s="839" t="s">
        <v>887</v>
      </c>
      <c r="F24" s="1239" t="s">
        <v>886</v>
      </c>
      <c r="G24" s="829" t="s">
        <v>34</v>
      </c>
      <c r="H24" s="829"/>
      <c r="I24" s="829"/>
      <c r="J24" s="1049" t="s">
        <v>63</v>
      </c>
      <c r="K24" s="1049" t="s">
        <v>885</v>
      </c>
      <c r="L24" s="110" t="s">
        <v>44</v>
      </c>
      <c r="M24" s="23" t="s">
        <v>884</v>
      </c>
      <c r="N24" s="829" t="s">
        <v>876</v>
      </c>
      <c r="O24" s="829" t="s">
        <v>172</v>
      </c>
    </row>
    <row r="25" spans="1:15" ht="50.25" customHeight="1" x14ac:dyDescent="0.25">
      <c r="A25" s="1182"/>
      <c r="B25" s="1183"/>
      <c r="C25" s="829"/>
      <c r="D25" s="1047"/>
      <c r="E25" s="839"/>
      <c r="F25" s="1240"/>
      <c r="G25" s="829"/>
      <c r="H25" s="829"/>
      <c r="I25" s="829"/>
      <c r="J25" s="1050"/>
      <c r="K25" s="1050"/>
      <c r="L25" s="110" t="s">
        <v>45</v>
      </c>
      <c r="M25" s="24" t="s">
        <v>883</v>
      </c>
      <c r="N25" s="829"/>
      <c r="O25" s="829"/>
    </row>
    <row r="26" spans="1:15" ht="78" customHeight="1" x14ac:dyDescent="0.25">
      <c r="A26" s="1182"/>
      <c r="B26" s="1183"/>
      <c r="C26" s="829"/>
      <c r="D26" s="1048"/>
      <c r="E26" s="839"/>
      <c r="F26" s="1241"/>
      <c r="G26" s="829"/>
      <c r="H26" s="829"/>
      <c r="I26" s="829"/>
      <c r="J26" s="1051"/>
      <c r="K26" s="1051"/>
      <c r="L26" s="112" t="s">
        <v>46</v>
      </c>
      <c r="M26" s="25" t="s">
        <v>882</v>
      </c>
      <c r="N26" s="829"/>
      <c r="O26" s="829"/>
    </row>
    <row r="27" spans="1:15" ht="57" customHeight="1" x14ac:dyDescent="0.25">
      <c r="A27" s="1182"/>
      <c r="B27" s="1183"/>
      <c r="C27" s="829" t="s">
        <v>67</v>
      </c>
      <c r="D27" s="1046" t="s">
        <v>881</v>
      </c>
      <c r="E27" s="839" t="s">
        <v>880</v>
      </c>
      <c r="F27" s="1239" t="s">
        <v>879</v>
      </c>
      <c r="G27" s="829" t="s">
        <v>34</v>
      </c>
      <c r="H27" s="829"/>
      <c r="I27" s="829"/>
      <c r="J27" s="1049" t="s">
        <v>63</v>
      </c>
      <c r="K27" s="1049" t="s">
        <v>878</v>
      </c>
      <c r="L27" s="110" t="s">
        <v>44</v>
      </c>
      <c r="M27" s="23" t="s">
        <v>877</v>
      </c>
      <c r="N27" s="829" t="s">
        <v>876</v>
      </c>
      <c r="O27" s="829" t="s">
        <v>172</v>
      </c>
    </row>
    <row r="28" spans="1:15" ht="62.25" customHeight="1" x14ac:dyDescent="0.25">
      <c r="A28" s="1182"/>
      <c r="B28" s="1183"/>
      <c r="C28" s="829"/>
      <c r="D28" s="1047"/>
      <c r="E28" s="839"/>
      <c r="F28" s="1240"/>
      <c r="G28" s="829"/>
      <c r="H28" s="829"/>
      <c r="I28" s="829"/>
      <c r="J28" s="1050"/>
      <c r="K28" s="1050"/>
      <c r="L28" s="110" t="s">
        <v>45</v>
      </c>
      <c r="M28" s="24" t="s">
        <v>875</v>
      </c>
      <c r="N28" s="829"/>
      <c r="O28" s="829"/>
    </row>
    <row r="29" spans="1:15" ht="62.25" customHeight="1" x14ac:dyDescent="0.25">
      <c r="A29" s="1184"/>
      <c r="B29" s="1185"/>
      <c r="C29" s="829"/>
      <c r="D29" s="1048"/>
      <c r="E29" s="839"/>
      <c r="F29" s="1241"/>
      <c r="G29" s="829"/>
      <c r="H29" s="829"/>
      <c r="I29" s="829"/>
      <c r="J29" s="1051"/>
      <c r="K29" s="1051"/>
      <c r="L29" s="112" t="s">
        <v>46</v>
      </c>
      <c r="M29" s="25" t="s">
        <v>409</v>
      </c>
      <c r="N29" s="829"/>
      <c r="O29" s="829"/>
    </row>
    <row r="30" spans="1:15" x14ac:dyDescent="0.25">
      <c r="A30" s="3"/>
      <c r="B30" s="3"/>
    </row>
    <row r="31" spans="1:15" ht="43.5" customHeight="1" x14ac:dyDescent="0.25">
      <c r="A31" s="1233" t="str">
        <f>+'Hoja 11. TABLA DE CONTROL'!B58</f>
        <v>PORCENTAJE (%) DE INCREMENTO DE CARTERA RECUPERADA ENTRE VIGENCIAS.</v>
      </c>
      <c r="B31" s="1234"/>
      <c r="C31" s="1234"/>
      <c r="D31" s="1234"/>
      <c r="E31" s="1234"/>
      <c r="F31" s="1234"/>
      <c r="G31" s="1234"/>
      <c r="H31" s="1234"/>
      <c r="I31" s="1234"/>
      <c r="J31" s="1234"/>
      <c r="K31" s="1234"/>
      <c r="L31" s="1234"/>
      <c r="M31" s="1234"/>
      <c r="N31" s="1234"/>
      <c r="O31" s="1235"/>
    </row>
    <row r="32" spans="1:15" x14ac:dyDescent="0.25">
      <c r="A32" s="5"/>
    </row>
    <row r="33" spans="1:15" ht="54.75" customHeight="1" x14ac:dyDescent="0.25">
      <c r="A33" s="26"/>
      <c r="G33" s="39">
        <v>2009</v>
      </c>
      <c r="H33" s="39">
        <v>2010</v>
      </c>
      <c r="I33" s="39">
        <v>2011</v>
      </c>
      <c r="J33" s="39">
        <v>2012</v>
      </c>
      <c r="K33" s="39">
        <v>2013</v>
      </c>
      <c r="L33" s="39">
        <v>2014</v>
      </c>
      <c r="M33" s="39">
        <v>2015</v>
      </c>
      <c r="N33" s="39">
        <v>2016</v>
      </c>
    </row>
    <row r="34" spans="1:15" ht="69.75" customHeight="1" x14ac:dyDescent="0.25">
      <c r="A34" s="856" t="s">
        <v>410</v>
      </c>
      <c r="B34" s="857"/>
      <c r="C34" s="857"/>
      <c r="D34" s="857"/>
      <c r="E34" s="857"/>
      <c r="F34" s="857"/>
      <c r="G34" s="113">
        <v>0.89</v>
      </c>
      <c r="H34" s="113">
        <v>0.84</v>
      </c>
      <c r="I34" s="113">
        <v>0.87</v>
      </c>
      <c r="J34" s="113">
        <v>0.67</v>
      </c>
      <c r="K34" s="113">
        <v>0.85</v>
      </c>
      <c r="L34" s="113">
        <v>0.8</v>
      </c>
      <c r="M34" s="113">
        <f>+K49</f>
        <v>0.80281690140845074</v>
      </c>
      <c r="N34" s="113">
        <f>+K52</f>
        <v>0.8</v>
      </c>
    </row>
    <row r="35" spans="1:15" ht="51" customHeight="1" x14ac:dyDescent="0.25">
      <c r="A35" s="856" t="s">
        <v>76</v>
      </c>
      <c r="B35" s="857"/>
      <c r="C35" s="857"/>
      <c r="D35" s="857"/>
      <c r="E35" s="857"/>
      <c r="F35" s="857"/>
      <c r="G35" s="113">
        <v>0.9</v>
      </c>
      <c r="H35" s="113">
        <v>0.9</v>
      </c>
      <c r="I35" s="113">
        <v>0.9</v>
      </c>
      <c r="J35" s="113">
        <v>0.9</v>
      </c>
      <c r="K35" s="113">
        <v>0.9</v>
      </c>
      <c r="L35" s="113">
        <v>0.9</v>
      </c>
      <c r="M35" s="113">
        <v>0.9</v>
      </c>
      <c r="N35" s="113">
        <v>0.9</v>
      </c>
    </row>
    <row r="36" spans="1:15" x14ac:dyDescent="0.25">
      <c r="A36" s="5"/>
    </row>
    <row r="37" spans="1:15" ht="41.25" customHeight="1" x14ac:dyDescent="0.25">
      <c r="A37" s="5"/>
      <c r="B37" s="28"/>
      <c r="C37" s="28"/>
      <c r="D37" s="28"/>
      <c r="G37" s="1165" t="s">
        <v>77</v>
      </c>
      <c r="H37" s="1165"/>
      <c r="I37" s="1165" t="s">
        <v>78</v>
      </c>
      <c r="J37" s="1165"/>
      <c r="K37" s="1165"/>
      <c r="L37" s="1165" t="s">
        <v>79</v>
      </c>
      <c r="M37" s="1165"/>
      <c r="N37" s="1165"/>
      <c r="O37" s="1165"/>
    </row>
    <row r="38" spans="1:15" ht="284.25" customHeight="1" x14ac:dyDescent="0.25">
      <c r="A38" s="5"/>
      <c r="G38" s="1165"/>
      <c r="H38" s="1165"/>
      <c r="I38" s="98" t="s">
        <v>411</v>
      </c>
      <c r="J38" s="98" t="s">
        <v>412</v>
      </c>
      <c r="K38" s="98" t="s">
        <v>410</v>
      </c>
      <c r="L38" s="1165"/>
      <c r="M38" s="1165"/>
      <c r="N38" s="1165"/>
      <c r="O38" s="1165"/>
    </row>
    <row r="39" spans="1:15" ht="41.25" customHeight="1" x14ac:dyDescent="0.3">
      <c r="B39" s="29"/>
      <c r="C39" s="30"/>
      <c r="D39" s="30"/>
      <c r="G39" s="859">
        <v>2009</v>
      </c>
      <c r="H39" s="859"/>
      <c r="I39" s="45">
        <v>40</v>
      </c>
      <c r="J39" s="45">
        <v>45</v>
      </c>
      <c r="K39" s="60">
        <f t="shared" ref="K39:K52" si="0">+I39/J39</f>
        <v>0.88888888888888884</v>
      </c>
      <c r="L39" s="873" t="s">
        <v>413</v>
      </c>
      <c r="M39" s="873"/>
      <c r="N39" s="873"/>
      <c r="O39" s="873"/>
    </row>
    <row r="40" spans="1:15" ht="41.25" customHeight="1" x14ac:dyDescent="0.3">
      <c r="B40" s="29"/>
      <c r="C40" s="30"/>
      <c r="D40" s="30"/>
      <c r="G40" s="859">
        <v>2010</v>
      </c>
      <c r="H40" s="859"/>
      <c r="I40" s="45">
        <v>36</v>
      </c>
      <c r="J40" s="45">
        <v>43</v>
      </c>
      <c r="K40" s="60">
        <f t="shared" si="0"/>
        <v>0.83720930232558144</v>
      </c>
      <c r="L40" s="873" t="s">
        <v>413</v>
      </c>
      <c r="M40" s="873"/>
      <c r="N40" s="873"/>
      <c r="O40" s="873"/>
    </row>
    <row r="41" spans="1:15" ht="39" customHeight="1" x14ac:dyDescent="0.3">
      <c r="B41" s="29"/>
      <c r="C41" s="30"/>
      <c r="D41" s="30"/>
      <c r="G41" s="859">
        <v>2011</v>
      </c>
      <c r="H41" s="859"/>
      <c r="I41" s="45">
        <v>33</v>
      </c>
      <c r="J41" s="45">
        <v>38</v>
      </c>
      <c r="K41" s="60">
        <f t="shared" si="0"/>
        <v>0.86842105263157898</v>
      </c>
      <c r="L41" s="873" t="s">
        <v>413</v>
      </c>
      <c r="M41" s="873"/>
      <c r="N41" s="873"/>
      <c r="O41" s="873"/>
    </row>
    <row r="42" spans="1:15" ht="39" customHeight="1" x14ac:dyDescent="0.3">
      <c r="B42" s="29"/>
      <c r="C42" s="30"/>
      <c r="D42" s="30"/>
      <c r="G42" s="859">
        <v>2012</v>
      </c>
      <c r="H42" s="859"/>
      <c r="I42" s="45">
        <v>41</v>
      </c>
      <c r="J42" s="45">
        <v>61</v>
      </c>
      <c r="K42" s="60">
        <f t="shared" si="0"/>
        <v>0.67213114754098358</v>
      </c>
      <c r="L42" s="873" t="s">
        <v>413</v>
      </c>
      <c r="M42" s="873"/>
      <c r="N42" s="873"/>
      <c r="O42" s="873"/>
    </row>
    <row r="43" spans="1:15" ht="254.25" customHeight="1" x14ac:dyDescent="0.3">
      <c r="B43" s="29"/>
      <c r="C43" s="30"/>
      <c r="D43" s="30"/>
      <c r="G43" s="859">
        <v>2013</v>
      </c>
      <c r="H43" s="859"/>
      <c r="I43" s="45">
        <v>57</v>
      </c>
      <c r="J43" s="45">
        <v>67</v>
      </c>
      <c r="K43" s="60">
        <f t="shared" si="0"/>
        <v>0.85074626865671643</v>
      </c>
      <c r="L43" s="874" t="s">
        <v>526</v>
      </c>
      <c r="M43" s="875"/>
      <c r="N43" s="875"/>
      <c r="O43" s="876"/>
    </row>
    <row r="44" spans="1:15" ht="231.75" hidden="1" customHeight="1" x14ac:dyDescent="0.3">
      <c r="B44" s="29"/>
      <c r="C44" s="30"/>
      <c r="D44" s="30"/>
      <c r="G44" s="1018">
        <v>2014</v>
      </c>
      <c r="H44" s="1019"/>
      <c r="I44" s="45">
        <v>40</v>
      </c>
      <c r="J44" s="45">
        <v>50</v>
      </c>
      <c r="K44" s="60">
        <f t="shared" si="0"/>
        <v>0.8</v>
      </c>
      <c r="L44" s="993"/>
      <c r="M44" s="994"/>
      <c r="N44" s="994"/>
      <c r="O44" s="995"/>
    </row>
    <row r="45" spans="1:15" ht="56.25" hidden="1" customHeight="1" x14ac:dyDescent="0.3">
      <c r="B45" s="29"/>
      <c r="C45" s="30"/>
      <c r="D45" s="30"/>
      <c r="G45" s="1231"/>
      <c r="H45" s="1232"/>
      <c r="I45" s="45">
        <v>60</v>
      </c>
      <c r="J45" s="45">
        <v>75</v>
      </c>
      <c r="K45" s="60">
        <f t="shared" si="0"/>
        <v>0.8</v>
      </c>
      <c r="L45" s="996"/>
      <c r="M45" s="996"/>
      <c r="N45" s="996"/>
      <c r="O45" s="996"/>
    </row>
    <row r="46" spans="1:15" ht="371.25" customHeight="1" x14ac:dyDescent="0.3">
      <c r="B46" s="29"/>
      <c r="C46" s="30"/>
      <c r="D46" s="30"/>
      <c r="G46" s="1020"/>
      <c r="H46" s="1021"/>
      <c r="I46" s="45">
        <f>SUM(I44:I45)</f>
        <v>100</v>
      </c>
      <c r="J46" s="45">
        <f>SUM(J44:J45)</f>
        <v>125</v>
      </c>
      <c r="K46" s="60">
        <f t="shared" si="0"/>
        <v>0.8</v>
      </c>
      <c r="L46" s="874" t="s">
        <v>874</v>
      </c>
      <c r="M46" s="875"/>
      <c r="N46" s="875"/>
      <c r="O46" s="876"/>
    </row>
    <row r="47" spans="1:15" ht="299.25" customHeight="1" x14ac:dyDescent="0.3">
      <c r="B47" s="29"/>
      <c r="C47" s="30"/>
      <c r="D47" s="30"/>
      <c r="G47" s="859">
        <v>2015</v>
      </c>
      <c r="H47" s="45" t="s">
        <v>141</v>
      </c>
      <c r="I47" s="45">
        <v>36</v>
      </c>
      <c r="J47" s="45">
        <v>41</v>
      </c>
      <c r="K47" s="60">
        <f t="shared" si="0"/>
        <v>0.87804878048780488</v>
      </c>
      <c r="L47" s="1228" t="s">
        <v>809</v>
      </c>
      <c r="M47" s="1229"/>
      <c r="N47" s="1229"/>
      <c r="O47" s="1230"/>
    </row>
    <row r="48" spans="1:15" ht="66.75" customHeight="1" x14ac:dyDescent="0.3">
      <c r="B48" s="29"/>
      <c r="C48" s="30"/>
      <c r="D48" s="30"/>
      <c r="G48" s="859"/>
      <c r="H48" s="45" t="s">
        <v>142</v>
      </c>
      <c r="I48" s="45">
        <v>21</v>
      </c>
      <c r="J48" s="45">
        <v>30</v>
      </c>
      <c r="K48" s="60">
        <f t="shared" si="0"/>
        <v>0.7</v>
      </c>
      <c r="L48" s="996" t="s">
        <v>873</v>
      </c>
      <c r="M48" s="996"/>
      <c r="N48" s="996"/>
      <c r="O48" s="996"/>
    </row>
    <row r="49" spans="1:67" ht="38.25" customHeight="1" x14ac:dyDescent="0.3">
      <c r="B49" s="29"/>
      <c r="C49" s="30"/>
      <c r="D49" s="30"/>
      <c r="G49" s="859"/>
      <c r="H49" s="45" t="s">
        <v>81</v>
      </c>
      <c r="I49" s="45">
        <f>SUM(I47:I48)</f>
        <v>57</v>
      </c>
      <c r="J49" s="45">
        <f>SUM(J47:J48)</f>
        <v>71</v>
      </c>
      <c r="K49" s="60">
        <f t="shared" si="0"/>
        <v>0.80281690140845074</v>
      </c>
      <c r="L49" s="1016"/>
      <c r="M49" s="1016"/>
      <c r="N49" s="1016"/>
      <c r="O49" s="1024"/>
    </row>
    <row r="50" spans="1:67" ht="57" customHeight="1" x14ac:dyDescent="0.35">
      <c r="B50" s="29"/>
      <c r="C50" s="30"/>
      <c r="D50" s="30"/>
      <c r="G50" s="859">
        <v>2016</v>
      </c>
      <c r="H50" s="45" t="s">
        <v>141</v>
      </c>
      <c r="I50" s="45">
        <v>24</v>
      </c>
      <c r="J50" s="45">
        <v>30</v>
      </c>
      <c r="K50" s="60">
        <f t="shared" si="0"/>
        <v>0.8</v>
      </c>
      <c r="L50" s="1246" t="s">
        <v>872</v>
      </c>
      <c r="M50" s="1246"/>
      <c r="N50" s="1246"/>
      <c r="O50" s="1246"/>
    </row>
    <row r="51" spans="1:67" ht="60" customHeight="1" x14ac:dyDescent="0.3">
      <c r="B51" s="29"/>
      <c r="C51" s="30"/>
      <c r="D51" s="30"/>
      <c r="G51" s="859"/>
      <c r="H51" s="45" t="s">
        <v>142</v>
      </c>
      <c r="I51" s="45"/>
      <c r="J51" s="45"/>
      <c r="K51" s="60" t="e">
        <f t="shared" si="0"/>
        <v>#DIV/0!</v>
      </c>
      <c r="L51" s="1016"/>
      <c r="M51" s="1016"/>
      <c r="N51" s="1016"/>
      <c r="O51" s="1024"/>
    </row>
    <row r="52" spans="1:67" ht="41.25" customHeight="1" x14ac:dyDescent="0.3">
      <c r="B52" s="29"/>
      <c r="C52" s="30"/>
      <c r="D52" s="30"/>
      <c r="G52" s="859"/>
      <c r="H52" s="45" t="s">
        <v>81</v>
      </c>
      <c r="I52" s="45">
        <f>SUM(I50:I51)</f>
        <v>24</v>
      </c>
      <c r="J52" s="45">
        <f>SUM(J50:J51)</f>
        <v>30</v>
      </c>
      <c r="K52" s="60">
        <f t="shared" si="0"/>
        <v>0.8</v>
      </c>
      <c r="L52" s="1247"/>
      <c r="M52" s="1247"/>
      <c r="N52" s="1247"/>
      <c r="O52" s="1247"/>
    </row>
    <row r="53" spans="1:67" ht="19.5" customHeight="1" x14ac:dyDescent="0.3">
      <c r="B53" s="29"/>
      <c r="C53" s="30"/>
      <c r="D53" s="30"/>
      <c r="G53" s="36"/>
      <c r="H53" s="216"/>
      <c r="I53" s="216"/>
      <c r="J53" s="216"/>
      <c r="K53" s="217"/>
      <c r="L53" s="217"/>
      <c r="M53" s="217"/>
      <c r="N53" s="217"/>
    </row>
    <row r="54" spans="1:67" ht="41.25" customHeight="1" x14ac:dyDescent="0.25"/>
    <row r="55" spans="1:67" ht="35.25" customHeight="1" x14ac:dyDescent="0.25">
      <c r="A55" s="1154" t="str">
        <f>+D12</f>
        <v>PORCENTAJE (%) DE DISMINUCIÓN DE CONSUMO DE PAPEL.</v>
      </c>
      <c r="B55" s="1155"/>
      <c r="C55" s="1155"/>
      <c r="D55" s="1155"/>
      <c r="E55" s="1155"/>
      <c r="F55" s="1155"/>
      <c r="G55" s="1155"/>
      <c r="H55" s="1155"/>
      <c r="I55" s="1155"/>
      <c r="J55" s="1155"/>
      <c r="K55" s="1155"/>
      <c r="L55" s="1155"/>
      <c r="M55" s="1155"/>
      <c r="N55" s="1155"/>
      <c r="O55" s="1155"/>
      <c r="P55" s="1155"/>
      <c r="Q55" s="1155"/>
      <c r="R55" s="1155"/>
      <c r="S55" s="1155"/>
      <c r="T55" s="1155"/>
      <c r="U55" s="1155"/>
      <c r="V55" s="1155"/>
      <c r="W55" s="1155"/>
      <c r="X55" s="1155"/>
      <c r="Y55" s="1155"/>
      <c r="Z55" s="1155"/>
      <c r="AA55" s="1155"/>
      <c r="AB55" s="1155"/>
      <c r="AC55" s="1155"/>
      <c r="AD55" s="1155"/>
      <c r="AE55" s="1156"/>
    </row>
    <row r="56" spans="1:67" ht="42.75" customHeight="1" x14ac:dyDescent="0.25">
      <c r="A56" s="5"/>
    </row>
    <row r="57" spans="1:67" ht="42.75" customHeight="1" x14ac:dyDescent="0.45">
      <c r="A57" s="26"/>
      <c r="G57" s="31">
        <v>2012</v>
      </c>
      <c r="H57" s="31">
        <v>2013</v>
      </c>
      <c r="I57" s="31">
        <v>2014</v>
      </c>
      <c r="J57" s="31">
        <v>2015</v>
      </c>
      <c r="K57" s="31">
        <v>2016</v>
      </c>
    </row>
    <row r="58" spans="1:67" ht="42.75" customHeight="1" x14ac:dyDescent="0.45">
      <c r="A58" s="856" t="s">
        <v>414</v>
      </c>
      <c r="B58" s="857"/>
      <c r="C58" s="857"/>
      <c r="D58" s="857"/>
      <c r="E58" s="857"/>
      <c r="F58" s="857"/>
      <c r="G58" s="32">
        <v>-0.44</v>
      </c>
      <c r="H58" s="32">
        <v>-0.12</v>
      </c>
      <c r="I58" s="32">
        <f>+AA89</f>
        <v>-7.1608040201004974E-2</v>
      </c>
      <c r="J58" s="32">
        <f>+AS89</f>
        <v>-0.12584573748308525</v>
      </c>
      <c r="K58" s="32">
        <f>+BK89</f>
        <v>0.5108359133126934</v>
      </c>
    </row>
    <row r="59" spans="1:67" ht="42.75" customHeight="1" x14ac:dyDescent="0.45">
      <c r="A59" s="856" t="s">
        <v>76</v>
      </c>
      <c r="B59" s="857"/>
      <c r="C59" s="857"/>
      <c r="D59" s="857"/>
      <c r="E59" s="857"/>
      <c r="F59" s="857"/>
      <c r="G59" s="32">
        <v>-0.02</v>
      </c>
      <c r="H59" s="32">
        <v>-0.02</v>
      </c>
      <c r="I59" s="32">
        <v>-0.02</v>
      </c>
      <c r="J59" s="32">
        <v>-0.02</v>
      </c>
      <c r="K59" s="32">
        <v>-0.02</v>
      </c>
    </row>
    <row r="60" spans="1:67" ht="42.75" customHeight="1" x14ac:dyDescent="0.25">
      <c r="A60" s="5"/>
    </row>
    <row r="61" spans="1:67" ht="42.75" customHeight="1" x14ac:dyDescent="0.25">
      <c r="A61" s="5"/>
      <c r="B61" s="28"/>
      <c r="C61" s="28"/>
      <c r="D61" s="28"/>
      <c r="G61" s="1165" t="s">
        <v>78</v>
      </c>
      <c r="H61" s="1165"/>
      <c r="I61" s="1165"/>
      <c r="J61" s="1165"/>
      <c r="K61" s="1165"/>
      <c r="L61" s="1165"/>
      <c r="M61" s="1165"/>
      <c r="N61" s="1165"/>
      <c r="O61" s="1165"/>
      <c r="P61" s="1165"/>
      <c r="Q61" s="1165"/>
      <c r="R61" s="1165"/>
      <c r="S61" s="1165"/>
      <c r="T61" s="1165"/>
      <c r="U61" s="1165"/>
      <c r="V61" s="1165"/>
      <c r="W61" s="1165"/>
      <c r="X61" s="1165"/>
      <c r="Y61" s="1165"/>
      <c r="Z61" s="1165"/>
      <c r="AA61" s="1165"/>
      <c r="AB61" s="1165"/>
      <c r="AC61" s="1165"/>
      <c r="AD61" s="1165"/>
      <c r="AE61" s="1165"/>
      <c r="AF61" s="1165"/>
      <c r="AG61" s="1165"/>
      <c r="AH61" s="1165"/>
      <c r="AI61" s="1165"/>
      <c r="AJ61" s="1165"/>
      <c r="AK61" s="1165"/>
      <c r="AL61" s="1165"/>
      <c r="AM61" s="1165"/>
      <c r="AN61" s="1165"/>
      <c r="AO61" s="1165"/>
      <c r="AP61" s="1165"/>
      <c r="AQ61" s="1165"/>
      <c r="AR61" s="1165"/>
      <c r="AS61" s="1165"/>
      <c r="AT61" s="1165"/>
      <c r="AU61" s="1165"/>
      <c r="AV61" s="1165"/>
      <c r="AW61" s="1165"/>
      <c r="AX61" s="1165"/>
      <c r="AY61" s="1165"/>
      <c r="AZ61" s="1165"/>
      <c r="BA61" s="1165"/>
      <c r="BB61" s="1165"/>
      <c r="BC61" s="1165"/>
      <c r="BD61" s="1165"/>
      <c r="BE61" s="1165"/>
      <c r="BF61" s="1165"/>
      <c r="BG61" s="1165"/>
      <c r="BH61" s="1165"/>
      <c r="BI61" s="1165"/>
      <c r="BJ61" s="1165"/>
      <c r="BK61" s="1165"/>
      <c r="BL61" s="1165"/>
      <c r="BM61" s="1165"/>
      <c r="BN61" s="1165"/>
      <c r="BO61" s="1165"/>
    </row>
    <row r="62" spans="1:67" ht="42.75" customHeight="1" x14ac:dyDescent="0.25">
      <c r="A62" s="5"/>
      <c r="G62" s="1222" t="s">
        <v>415</v>
      </c>
      <c r="H62" s="1222" t="s">
        <v>416</v>
      </c>
      <c r="I62" s="1222" t="s">
        <v>417</v>
      </c>
      <c r="J62" s="1222"/>
      <c r="K62" s="1222"/>
      <c r="L62" s="1222"/>
      <c r="M62" s="1222"/>
      <c r="N62" s="1222"/>
      <c r="O62" s="1222"/>
      <c r="P62" s="1222"/>
      <c r="Q62" s="1222"/>
      <c r="R62" s="1222"/>
      <c r="S62" s="1222"/>
      <c r="T62" s="1222"/>
      <c r="U62" s="1222"/>
      <c r="V62" s="1222"/>
      <c r="W62" s="1222"/>
      <c r="X62" s="1222"/>
      <c r="Y62" s="1222"/>
      <c r="Z62" s="1222"/>
      <c r="AA62" s="1222"/>
      <c r="AB62" s="1222"/>
      <c r="AC62" s="1222"/>
      <c r="AD62" s="1222"/>
      <c r="AE62" s="1222"/>
      <c r="AF62" s="1222"/>
      <c r="AG62" s="1222"/>
      <c r="AH62" s="1222"/>
      <c r="AI62" s="1222"/>
      <c r="AJ62" s="1222"/>
      <c r="AK62" s="1222"/>
      <c r="AL62" s="1222"/>
      <c r="AM62" s="1222"/>
      <c r="AN62" s="1222"/>
      <c r="AO62" s="1222"/>
      <c r="AP62" s="1222"/>
      <c r="AQ62" s="1222"/>
      <c r="AR62" s="1222"/>
      <c r="AS62" s="1222"/>
      <c r="AT62" s="1222"/>
      <c r="AU62" s="1222"/>
      <c r="AV62" s="1222"/>
      <c r="AW62" s="1222"/>
      <c r="AX62" s="1222"/>
      <c r="AY62" s="1222"/>
      <c r="AZ62" s="1222"/>
      <c r="BA62" s="1222"/>
      <c r="BB62" s="1222"/>
      <c r="BC62" s="1222"/>
      <c r="BD62" s="1222"/>
      <c r="BE62" s="1222"/>
      <c r="BF62" s="1222"/>
      <c r="BG62" s="1222"/>
      <c r="BH62" s="1222"/>
      <c r="BI62" s="1222"/>
      <c r="BJ62" s="1222"/>
      <c r="BK62" s="1222"/>
      <c r="BL62" s="1222"/>
      <c r="BM62" s="1222"/>
      <c r="BN62" s="1222"/>
      <c r="BO62" s="1222"/>
    </row>
    <row r="63" spans="1:67" ht="42.75" customHeight="1" x14ac:dyDescent="0.3">
      <c r="B63" s="29"/>
      <c r="C63" s="30"/>
      <c r="D63" s="30"/>
      <c r="G63" s="1222"/>
      <c r="H63" s="1222"/>
      <c r="I63" s="1222">
        <v>2011</v>
      </c>
      <c r="J63" s="1222">
        <v>2012</v>
      </c>
      <c r="K63" s="1222">
        <v>2013</v>
      </c>
      <c r="L63" s="1222"/>
      <c r="M63" s="1222"/>
      <c r="N63" s="1222">
        <v>2014</v>
      </c>
      <c r="O63" s="1222"/>
      <c r="P63" s="1222"/>
      <c r="Q63" s="1222"/>
      <c r="R63" s="1222"/>
      <c r="S63" s="1222"/>
      <c r="T63" s="1222"/>
      <c r="U63" s="1222"/>
      <c r="V63" s="1222"/>
      <c r="W63" s="1222"/>
      <c r="X63" s="1222"/>
      <c r="Y63" s="1222"/>
      <c r="Z63" s="1222"/>
      <c r="AA63" s="1222" t="s">
        <v>418</v>
      </c>
      <c r="AB63" s="1226" t="s">
        <v>79</v>
      </c>
      <c r="AC63" s="1226"/>
      <c r="AD63" s="1226"/>
      <c r="AE63" s="1226"/>
      <c r="AF63" s="1222">
        <v>2015</v>
      </c>
      <c r="AG63" s="1222"/>
      <c r="AH63" s="1222"/>
      <c r="AI63" s="1222"/>
      <c r="AJ63" s="1222"/>
      <c r="AK63" s="1222"/>
      <c r="AL63" s="1222"/>
      <c r="AM63" s="1222"/>
      <c r="AN63" s="1222"/>
      <c r="AO63" s="1222"/>
      <c r="AP63" s="1222"/>
      <c r="AQ63" s="1222"/>
      <c r="AR63" s="1222"/>
      <c r="AS63" s="1222" t="s">
        <v>769</v>
      </c>
      <c r="AT63" s="1226" t="s">
        <v>79</v>
      </c>
      <c r="AU63" s="1226"/>
      <c r="AV63" s="1226"/>
      <c r="AW63" s="1226"/>
      <c r="AX63" s="1222">
        <v>2016</v>
      </c>
      <c r="AY63" s="1222"/>
      <c r="AZ63" s="1222"/>
      <c r="BA63" s="1222"/>
      <c r="BB63" s="1222"/>
      <c r="BC63" s="1222"/>
      <c r="BD63" s="1222"/>
      <c r="BE63" s="1222"/>
      <c r="BF63" s="1222"/>
      <c r="BG63" s="1222"/>
      <c r="BH63" s="1222"/>
      <c r="BI63" s="1222"/>
      <c r="BJ63" s="1222"/>
      <c r="BK63" s="1222" t="s">
        <v>871</v>
      </c>
      <c r="BL63" s="1226" t="s">
        <v>79</v>
      </c>
      <c r="BM63" s="1226"/>
      <c r="BN63" s="1226"/>
      <c r="BO63" s="1226"/>
    </row>
    <row r="64" spans="1:67" ht="42.75" customHeight="1" x14ac:dyDescent="0.3">
      <c r="B64" s="29"/>
      <c r="C64" s="30"/>
      <c r="D64" s="30"/>
      <c r="G64" s="1222"/>
      <c r="H64" s="1222"/>
      <c r="I64" s="1222"/>
      <c r="J64" s="1222"/>
      <c r="K64" s="1222" t="s">
        <v>419</v>
      </c>
      <c r="L64" s="1222" t="s">
        <v>420</v>
      </c>
      <c r="M64" s="1222" t="s">
        <v>185</v>
      </c>
      <c r="N64" s="1222" t="s">
        <v>86</v>
      </c>
      <c r="O64" s="1222"/>
      <c r="P64" s="1222"/>
      <c r="Q64" s="1222"/>
      <c r="R64" s="1222"/>
      <c r="S64" s="1222"/>
      <c r="T64" s="1222"/>
      <c r="U64" s="1222"/>
      <c r="V64" s="1222"/>
      <c r="W64" s="1222"/>
      <c r="X64" s="1222"/>
      <c r="Y64" s="1222"/>
      <c r="Z64" s="1222"/>
      <c r="AA64" s="1222"/>
      <c r="AB64" s="1226"/>
      <c r="AC64" s="1226"/>
      <c r="AD64" s="1226"/>
      <c r="AE64" s="1226"/>
      <c r="AF64" s="1222" t="s">
        <v>86</v>
      </c>
      <c r="AG64" s="1222"/>
      <c r="AH64" s="1222"/>
      <c r="AI64" s="1222"/>
      <c r="AJ64" s="1222"/>
      <c r="AK64" s="1222"/>
      <c r="AL64" s="1222"/>
      <c r="AM64" s="1222"/>
      <c r="AN64" s="1222"/>
      <c r="AO64" s="1222"/>
      <c r="AP64" s="1222"/>
      <c r="AQ64" s="1222"/>
      <c r="AR64" s="1222"/>
      <c r="AS64" s="1222"/>
      <c r="AT64" s="1226"/>
      <c r="AU64" s="1226"/>
      <c r="AV64" s="1226"/>
      <c r="AW64" s="1226"/>
      <c r="AX64" s="1222" t="s">
        <v>86</v>
      </c>
      <c r="AY64" s="1222"/>
      <c r="AZ64" s="1222"/>
      <c r="BA64" s="1222"/>
      <c r="BB64" s="1222"/>
      <c r="BC64" s="1222"/>
      <c r="BD64" s="1222"/>
      <c r="BE64" s="1222"/>
      <c r="BF64" s="1222"/>
      <c r="BG64" s="1222"/>
      <c r="BH64" s="1222"/>
      <c r="BI64" s="1222"/>
      <c r="BJ64" s="1222"/>
      <c r="BK64" s="1222"/>
      <c r="BL64" s="1226"/>
      <c r="BM64" s="1226"/>
      <c r="BN64" s="1226"/>
      <c r="BO64" s="1226"/>
    </row>
    <row r="65" spans="2:67" ht="42.75" customHeight="1" x14ac:dyDescent="0.3">
      <c r="B65" s="29"/>
      <c r="C65" s="30"/>
      <c r="D65" s="30"/>
      <c r="G65" s="1222"/>
      <c r="H65" s="1222"/>
      <c r="I65" s="1222"/>
      <c r="J65" s="1222"/>
      <c r="K65" s="1222"/>
      <c r="L65" s="1222"/>
      <c r="M65" s="1222"/>
      <c r="N65" s="295" t="s">
        <v>421</v>
      </c>
      <c r="O65" s="295" t="s">
        <v>422</v>
      </c>
      <c r="P65" s="295" t="s">
        <v>423</v>
      </c>
      <c r="Q65" s="295" t="s">
        <v>424</v>
      </c>
      <c r="R65" s="295" t="s">
        <v>425</v>
      </c>
      <c r="S65" s="295" t="s">
        <v>426</v>
      </c>
      <c r="T65" s="295" t="s">
        <v>427</v>
      </c>
      <c r="U65" s="295" t="s">
        <v>428</v>
      </c>
      <c r="V65" s="295" t="s">
        <v>429</v>
      </c>
      <c r="W65" s="295" t="s">
        <v>430</v>
      </c>
      <c r="X65" s="295" t="s">
        <v>431</v>
      </c>
      <c r="Y65" s="295" t="s">
        <v>432</v>
      </c>
      <c r="Z65" s="295" t="s">
        <v>81</v>
      </c>
      <c r="AA65" s="1222"/>
      <c r="AB65" s="1226"/>
      <c r="AC65" s="1226"/>
      <c r="AD65" s="1226"/>
      <c r="AE65" s="1226"/>
      <c r="AF65" s="295" t="s">
        <v>421</v>
      </c>
      <c r="AG65" s="295" t="s">
        <v>422</v>
      </c>
      <c r="AH65" s="295" t="s">
        <v>423</v>
      </c>
      <c r="AI65" s="295" t="s">
        <v>424</v>
      </c>
      <c r="AJ65" s="295" t="s">
        <v>425</v>
      </c>
      <c r="AK65" s="295" t="s">
        <v>426</v>
      </c>
      <c r="AL65" s="295" t="s">
        <v>427</v>
      </c>
      <c r="AM65" s="295" t="s">
        <v>428</v>
      </c>
      <c r="AN65" s="295" t="s">
        <v>429</v>
      </c>
      <c r="AO65" s="295" t="s">
        <v>430</v>
      </c>
      <c r="AP65" s="295" t="s">
        <v>431</v>
      </c>
      <c r="AQ65" s="295" t="s">
        <v>432</v>
      </c>
      <c r="AR65" s="295" t="s">
        <v>81</v>
      </c>
      <c r="AS65" s="1222"/>
      <c r="AT65" s="1226"/>
      <c r="AU65" s="1226"/>
      <c r="AV65" s="1226"/>
      <c r="AW65" s="1226"/>
      <c r="AX65" s="295" t="s">
        <v>421</v>
      </c>
      <c r="AY65" s="295" t="s">
        <v>422</v>
      </c>
      <c r="AZ65" s="295" t="s">
        <v>423</v>
      </c>
      <c r="BA65" s="295" t="s">
        <v>424</v>
      </c>
      <c r="BB65" s="295" t="s">
        <v>425</v>
      </c>
      <c r="BC65" s="295" t="s">
        <v>426</v>
      </c>
      <c r="BD65" s="295" t="s">
        <v>427</v>
      </c>
      <c r="BE65" s="295" t="s">
        <v>428</v>
      </c>
      <c r="BF65" s="295" t="s">
        <v>429</v>
      </c>
      <c r="BG65" s="295" t="s">
        <v>430</v>
      </c>
      <c r="BH65" s="295" t="s">
        <v>431</v>
      </c>
      <c r="BI65" s="295" t="s">
        <v>432</v>
      </c>
      <c r="BJ65" s="295" t="s">
        <v>81</v>
      </c>
      <c r="BK65" s="1222"/>
      <c r="BL65" s="1226"/>
      <c r="BM65" s="1226"/>
      <c r="BN65" s="1226"/>
      <c r="BO65" s="1226"/>
    </row>
    <row r="66" spans="2:67" ht="42.75" customHeight="1" x14ac:dyDescent="0.3">
      <c r="B66" s="29"/>
      <c r="C66" s="30"/>
      <c r="D66" s="30"/>
      <c r="G66" s="1227" t="s">
        <v>433</v>
      </c>
      <c r="H66" s="114" t="s">
        <v>434</v>
      </c>
      <c r="I66" s="52">
        <v>12</v>
      </c>
      <c r="J66" s="115">
        <v>11</v>
      </c>
      <c r="K66" s="115">
        <v>9</v>
      </c>
      <c r="L66" s="116">
        <f t="shared" ref="L66:L89" si="1">+K66/12</f>
        <v>0.75</v>
      </c>
      <c r="M66" s="117">
        <f t="shared" ref="M66:M89" si="2">(K66*0.02)</f>
        <v>0.18</v>
      </c>
      <c r="N66" s="43">
        <v>1</v>
      </c>
      <c r="O66" s="43"/>
      <c r="P66" s="43">
        <v>1</v>
      </c>
      <c r="Q66" s="43">
        <v>1</v>
      </c>
      <c r="R66" s="43"/>
      <c r="S66" s="43">
        <v>1</v>
      </c>
      <c r="T66" s="43">
        <v>1</v>
      </c>
      <c r="U66" s="43">
        <v>2</v>
      </c>
      <c r="V66" s="117"/>
      <c r="W66" s="117">
        <v>2</v>
      </c>
      <c r="X66" s="117">
        <v>1</v>
      </c>
      <c r="Y66" s="117">
        <v>1</v>
      </c>
      <c r="Z66" s="115">
        <f>SUM(N66:Y66)</f>
        <v>11</v>
      </c>
      <c r="AA66" s="118">
        <f t="shared" ref="AA66:AA89" si="3">+(Z66/K66)-1</f>
        <v>0.22222222222222232</v>
      </c>
      <c r="AB66" s="1212" t="s">
        <v>770</v>
      </c>
      <c r="AC66" s="1212"/>
      <c r="AD66" s="1212"/>
      <c r="AE66" s="1212"/>
      <c r="AF66" s="43">
        <v>1</v>
      </c>
      <c r="AG66" s="43">
        <v>0</v>
      </c>
      <c r="AH66" s="43">
        <v>1</v>
      </c>
      <c r="AI66" s="43">
        <v>0</v>
      </c>
      <c r="AJ66" s="43">
        <v>1</v>
      </c>
      <c r="AK66" s="43">
        <v>0</v>
      </c>
      <c r="AL66" s="43">
        <v>1</v>
      </c>
      <c r="AM66" s="43">
        <v>0</v>
      </c>
      <c r="AN66" s="117">
        <v>1</v>
      </c>
      <c r="AO66" s="117">
        <v>0</v>
      </c>
      <c r="AP66" s="117">
        <v>1</v>
      </c>
      <c r="AQ66" s="117">
        <v>0</v>
      </c>
      <c r="AR66" s="115">
        <f>SUM(AF66:AQ66)</f>
        <v>6</v>
      </c>
      <c r="AS66" s="118">
        <f t="shared" ref="AS66:AS89" si="4">+(AR66/Z66)-1</f>
        <v>-0.45454545454545459</v>
      </c>
      <c r="AT66" s="1212" t="s">
        <v>771</v>
      </c>
      <c r="AU66" s="1212"/>
      <c r="AV66" s="1212"/>
      <c r="AW66" s="1212"/>
      <c r="AX66" s="43">
        <v>0</v>
      </c>
      <c r="AY66" s="43">
        <v>0</v>
      </c>
      <c r="AZ66" s="43">
        <v>0</v>
      </c>
      <c r="BA66" s="43">
        <v>0</v>
      </c>
      <c r="BB66" s="43">
        <v>1</v>
      </c>
      <c r="BC66" s="43">
        <v>0</v>
      </c>
      <c r="BD66" s="43">
        <v>1</v>
      </c>
      <c r="BE66" s="43">
        <v>0</v>
      </c>
      <c r="BF66" s="117">
        <v>0</v>
      </c>
      <c r="BG66" s="117"/>
      <c r="BH66" s="117"/>
      <c r="BI66" s="117"/>
      <c r="BJ66" s="115">
        <f>SUM(AX66:BI66)</f>
        <v>2</v>
      </c>
      <c r="BK66" s="118">
        <f t="shared" ref="BK66:BK89" si="5">+(BJ66/AR66)-1</f>
        <v>-0.66666666666666674</v>
      </c>
      <c r="BL66" s="1212" t="s">
        <v>771</v>
      </c>
      <c r="BM66" s="1212"/>
      <c r="BN66" s="1212"/>
      <c r="BO66" s="1212"/>
    </row>
    <row r="67" spans="2:67" ht="42.75" customHeight="1" x14ac:dyDescent="0.3">
      <c r="B67" s="29"/>
      <c r="C67" s="30"/>
      <c r="D67" s="30"/>
      <c r="G67" s="1227"/>
      <c r="H67" s="114" t="s">
        <v>435</v>
      </c>
      <c r="I67" s="52">
        <v>5.2</v>
      </c>
      <c r="J67" s="115">
        <v>2</v>
      </c>
      <c r="K67" s="115">
        <v>2</v>
      </c>
      <c r="L67" s="116">
        <f t="shared" si="1"/>
        <v>0.16666666666666666</v>
      </c>
      <c r="M67" s="117">
        <f t="shared" si="2"/>
        <v>0.04</v>
      </c>
      <c r="N67" s="43"/>
      <c r="O67" s="43"/>
      <c r="P67" s="43">
        <v>1</v>
      </c>
      <c r="Q67" s="43"/>
      <c r="R67" s="43"/>
      <c r="S67" s="43"/>
      <c r="T67" s="43"/>
      <c r="U67" s="43"/>
      <c r="V67" s="117">
        <v>1</v>
      </c>
      <c r="W67" s="117"/>
      <c r="X67" s="117"/>
      <c r="Y67" s="117">
        <v>1</v>
      </c>
      <c r="Z67" s="115">
        <f>SUM(N67:Y67)</f>
        <v>3</v>
      </c>
      <c r="AA67" s="118">
        <f t="shared" si="3"/>
        <v>0.5</v>
      </c>
      <c r="AB67" s="1212"/>
      <c r="AC67" s="1212"/>
      <c r="AD67" s="1212"/>
      <c r="AE67" s="1212"/>
      <c r="AF67" s="43">
        <v>0</v>
      </c>
      <c r="AG67" s="43">
        <v>0</v>
      </c>
      <c r="AH67" s="43">
        <v>1</v>
      </c>
      <c r="AI67" s="43">
        <v>0</v>
      </c>
      <c r="AJ67" s="43">
        <v>0</v>
      </c>
      <c r="AK67" s="43">
        <v>1</v>
      </c>
      <c r="AL67" s="43">
        <v>0</v>
      </c>
      <c r="AM67" s="43">
        <v>0</v>
      </c>
      <c r="AN67" s="117">
        <v>1</v>
      </c>
      <c r="AO67" s="117">
        <v>0</v>
      </c>
      <c r="AP67" s="117">
        <v>0</v>
      </c>
      <c r="AQ67" s="117">
        <v>0</v>
      </c>
      <c r="AR67" s="115">
        <f>SUM(AF67:AQ67)</f>
        <v>3</v>
      </c>
      <c r="AS67" s="118">
        <f t="shared" si="4"/>
        <v>0</v>
      </c>
      <c r="AT67" s="1212"/>
      <c r="AU67" s="1212"/>
      <c r="AV67" s="1212"/>
      <c r="AW67" s="1212"/>
      <c r="AX67" s="43">
        <v>0</v>
      </c>
      <c r="AY67" s="43">
        <v>0</v>
      </c>
      <c r="AZ67" s="43">
        <v>0</v>
      </c>
      <c r="BA67" s="43">
        <v>0</v>
      </c>
      <c r="BB67" s="43">
        <v>1</v>
      </c>
      <c r="BC67" s="43">
        <v>0</v>
      </c>
      <c r="BD67" s="43">
        <v>0</v>
      </c>
      <c r="BE67" s="43">
        <v>0</v>
      </c>
      <c r="BF67" s="117">
        <v>0</v>
      </c>
      <c r="BG67" s="117"/>
      <c r="BH67" s="117"/>
      <c r="BI67" s="117"/>
      <c r="BJ67" s="115">
        <f>SUM(AX67:BI67)</f>
        <v>1</v>
      </c>
      <c r="BK67" s="118">
        <f t="shared" si="5"/>
        <v>-0.66666666666666674</v>
      </c>
      <c r="BL67" s="1212"/>
      <c r="BM67" s="1212"/>
      <c r="BN67" s="1212"/>
      <c r="BO67" s="1212"/>
    </row>
    <row r="68" spans="2:67" ht="42.75" customHeight="1" x14ac:dyDescent="0.3">
      <c r="B68" s="29"/>
      <c r="C68" s="30"/>
      <c r="D68" s="30"/>
      <c r="G68" s="1227"/>
      <c r="H68" s="114" t="s">
        <v>81</v>
      </c>
      <c r="I68" s="119">
        <v>17.2</v>
      </c>
      <c r="J68" s="119">
        <v>13</v>
      </c>
      <c r="K68" s="119">
        <v>11</v>
      </c>
      <c r="L68" s="120">
        <f t="shared" si="1"/>
        <v>0.91666666666666663</v>
      </c>
      <c r="M68" s="120">
        <f t="shared" si="2"/>
        <v>0.22</v>
      </c>
      <c r="N68" s="119">
        <f t="shared" ref="N68:Z68" si="6">SUM(N66:N67)</f>
        <v>1</v>
      </c>
      <c r="O68" s="119">
        <f t="shared" si="6"/>
        <v>0</v>
      </c>
      <c r="P68" s="119">
        <f t="shared" si="6"/>
        <v>2</v>
      </c>
      <c r="Q68" s="119">
        <f t="shared" si="6"/>
        <v>1</v>
      </c>
      <c r="R68" s="119">
        <f t="shared" si="6"/>
        <v>0</v>
      </c>
      <c r="S68" s="119">
        <f t="shared" si="6"/>
        <v>1</v>
      </c>
      <c r="T68" s="119">
        <f t="shared" si="6"/>
        <v>1</v>
      </c>
      <c r="U68" s="119">
        <f t="shared" si="6"/>
        <v>2</v>
      </c>
      <c r="V68" s="119">
        <f t="shared" si="6"/>
        <v>1</v>
      </c>
      <c r="W68" s="119">
        <f t="shared" si="6"/>
        <v>2</v>
      </c>
      <c r="X68" s="119">
        <f t="shared" si="6"/>
        <v>1</v>
      </c>
      <c r="Y68" s="119">
        <f t="shared" si="6"/>
        <v>2</v>
      </c>
      <c r="Z68" s="119">
        <f t="shared" si="6"/>
        <v>14</v>
      </c>
      <c r="AA68" s="121">
        <f t="shared" si="3"/>
        <v>0.27272727272727271</v>
      </c>
      <c r="AB68" s="1212"/>
      <c r="AC68" s="1212"/>
      <c r="AD68" s="1212"/>
      <c r="AE68" s="1212"/>
      <c r="AF68" s="119">
        <f t="shared" ref="AF68:AR68" si="7">SUM(AF66:AF67)</f>
        <v>1</v>
      </c>
      <c r="AG68" s="119">
        <f t="shared" si="7"/>
        <v>0</v>
      </c>
      <c r="AH68" s="119">
        <f t="shared" si="7"/>
        <v>2</v>
      </c>
      <c r="AI68" s="119">
        <f t="shared" si="7"/>
        <v>0</v>
      </c>
      <c r="AJ68" s="119">
        <f t="shared" si="7"/>
        <v>1</v>
      </c>
      <c r="AK68" s="119">
        <f t="shared" si="7"/>
        <v>1</v>
      </c>
      <c r="AL68" s="119">
        <f t="shared" si="7"/>
        <v>1</v>
      </c>
      <c r="AM68" s="119">
        <f t="shared" si="7"/>
        <v>0</v>
      </c>
      <c r="AN68" s="119">
        <f t="shared" si="7"/>
        <v>2</v>
      </c>
      <c r="AO68" s="119">
        <f t="shared" si="7"/>
        <v>0</v>
      </c>
      <c r="AP68" s="119">
        <f t="shared" si="7"/>
        <v>1</v>
      </c>
      <c r="AQ68" s="119">
        <f t="shared" si="7"/>
        <v>0</v>
      </c>
      <c r="AR68" s="119">
        <f t="shared" si="7"/>
        <v>9</v>
      </c>
      <c r="AS68" s="121">
        <f t="shared" si="4"/>
        <v>-0.3571428571428571</v>
      </c>
      <c r="AT68" s="1212"/>
      <c r="AU68" s="1212"/>
      <c r="AV68" s="1212"/>
      <c r="AW68" s="1212"/>
      <c r="AX68" s="119">
        <f t="shared" ref="AX68:BJ68" si="8">SUM(AX66:AX67)</f>
        <v>0</v>
      </c>
      <c r="AY68" s="119">
        <f t="shared" si="8"/>
        <v>0</v>
      </c>
      <c r="AZ68" s="119">
        <f t="shared" si="8"/>
        <v>0</v>
      </c>
      <c r="BA68" s="119">
        <f t="shared" si="8"/>
        <v>0</v>
      </c>
      <c r="BB68" s="119">
        <f t="shared" si="8"/>
        <v>2</v>
      </c>
      <c r="BC68" s="119">
        <f t="shared" si="8"/>
        <v>0</v>
      </c>
      <c r="BD68" s="119">
        <f t="shared" si="8"/>
        <v>1</v>
      </c>
      <c r="BE68" s="119">
        <f t="shared" si="8"/>
        <v>0</v>
      </c>
      <c r="BF68" s="119">
        <f t="shared" si="8"/>
        <v>0</v>
      </c>
      <c r="BG68" s="119">
        <f t="shared" si="8"/>
        <v>0</v>
      </c>
      <c r="BH68" s="119">
        <f t="shared" si="8"/>
        <v>0</v>
      </c>
      <c r="BI68" s="119">
        <f t="shared" si="8"/>
        <v>0</v>
      </c>
      <c r="BJ68" s="119">
        <f t="shared" si="8"/>
        <v>3</v>
      </c>
      <c r="BK68" s="121">
        <f t="shared" si="5"/>
        <v>-0.66666666666666674</v>
      </c>
      <c r="BL68" s="1212"/>
      <c r="BM68" s="1212"/>
      <c r="BN68" s="1212"/>
      <c r="BO68" s="1212"/>
    </row>
    <row r="69" spans="2:67" ht="42.75" customHeight="1" x14ac:dyDescent="0.3">
      <c r="B69" s="29"/>
      <c r="C69" s="30"/>
      <c r="D69" s="30"/>
      <c r="G69" s="1227" t="s">
        <v>436</v>
      </c>
      <c r="H69" s="114" t="s">
        <v>434</v>
      </c>
      <c r="I69" s="52">
        <v>24</v>
      </c>
      <c r="J69" s="115">
        <v>19</v>
      </c>
      <c r="K69" s="115">
        <v>13</v>
      </c>
      <c r="L69" s="116">
        <f t="shared" si="1"/>
        <v>1.0833333333333333</v>
      </c>
      <c r="M69" s="117">
        <f t="shared" si="2"/>
        <v>0.26</v>
      </c>
      <c r="N69" s="43">
        <v>1</v>
      </c>
      <c r="O69" s="43">
        <v>1</v>
      </c>
      <c r="P69" s="43"/>
      <c r="Q69" s="43">
        <v>2</v>
      </c>
      <c r="R69" s="43">
        <v>1</v>
      </c>
      <c r="S69" s="43">
        <v>2</v>
      </c>
      <c r="T69" s="43"/>
      <c r="U69" s="43">
        <v>1</v>
      </c>
      <c r="V69" s="117">
        <v>0.5</v>
      </c>
      <c r="W69" s="117">
        <v>1</v>
      </c>
      <c r="X69" s="117">
        <v>1</v>
      </c>
      <c r="Y69" s="117">
        <v>1</v>
      </c>
      <c r="Z69" s="115">
        <f>SUM(N69:Y69)</f>
        <v>11.5</v>
      </c>
      <c r="AA69" s="118">
        <f t="shared" si="3"/>
        <v>-0.11538461538461542</v>
      </c>
      <c r="AB69" s="1212"/>
      <c r="AC69" s="1212"/>
      <c r="AD69" s="1212"/>
      <c r="AE69" s="1212"/>
      <c r="AF69" s="43">
        <v>1</v>
      </c>
      <c r="AG69" s="43">
        <v>1</v>
      </c>
      <c r="AH69" s="43">
        <v>1</v>
      </c>
      <c r="AI69" s="43">
        <v>1</v>
      </c>
      <c r="AJ69" s="43">
        <v>1</v>
      </c>
      <c r="AK69" s="43">
        <v>1</v>
      </c>
      <c r="AL69" s="43">
        <v>1</v>
      </c>
      <c r="AM69" s="43">
        <v>1</v>
      </c>
      <c r="AN69" s="117">
        <v>1</v>
      </c>
      <c r="AO69" s="117">
        <v>1</v>
      </c>
      <c r="AP69" s="117">
        <v>1</v>
      </c>
      <c r="AQ69" s="117">
        <v>1</v>
      </c>
      <c r="AR69" s="115">
        <f>SUM(AF69:AQ69)</f>
        <v>12</v>
      </c>
      <c r="AS69" s="118">
        <f t="shared" si="4"/>
        <v>4.3478260869565188E-2</v>
      </c>
      <c r="AT69" s="1212"/>
      <c r="AU69" s="1212"/>
      <c r="AV69" s="1212"/>
      <c r="AW69" s="1212"/>
      <c r="AX69" s="43">
        <v>10</v>
      </c>
      <c r="AY69" s="43">
        <v>2</v>
      </c>
      <c r="AZ69" s="43">
        <v>5</v>
      </c>
      <c r="BA69" s="43">
        <f>2+1+3+1</f>
        <v>7</v>
      </c>
      <c r="BB69" s="43">
        <f>1+1+1+1+1</f>
        <v>5</v>
      </c>
      <c r="BC69" s="43">
        <v>2</v>
      </c>
      <c r="BD69" s="43">
        <f>4+1</f>
        <v>5</v>
      </c>
      <c r="BE69" s="43">
        <f>2+1</f>
        <v>3</v>
      </c>
      <c r="BF69" s="117">
        <f>1+1</f>
        <v>2</v>
      </c>
      <c r="BG69" s="117"/>
      <c r="BH69" s="117"/>
      <c r="BI69" s="117"/>
      <c r="BJ69" s="115">
        <f>SUM(AX69:BI69)</f>
        <v>41</v>
      </c>
      <c r="BK69" s="118">
        <f t="shared" si="5"/>
        <v>2.4166666666666665</v>
      </c>
      <c r="BL69" s="1212"/>
      <c r="BM69" s="1212"/>
      <c r="BN69" s="1212"/>
      <c r="BO69" s="1212"/>
    </row>
    <row r="70" spans="2:67" ht="42.75" customHeight="1" x14ac:dyDescent="0.3">
      <c r="B70" s="29"/>
      <c r="C70" s="30"/>
      <c r="D70" s="30"/>
      <c r="G70" s="1227"/>
      <c r="H70" s="114" t="s">
        <v>435</v>
      </c>
      <c r="I70" s="52">
        <v>10.4</v>
      </c>
      <c r="J70" s="115">
        <v>3</v>
      </c>
      <c r="K70" s="115">
        <v>5</v>
      </c>
      <c r="L70" s="116">
        <f t="shared" si="1"/>
        <v>0.41666666666666669</v>
      </c>
      <c r="M70" s="117">
        <f t="shared" si="2"/>
        <v>0.1</v>
      </c>
      <c r="N70" s="43"/>
      <c r="O70" s="43"/>
      <c r="P70" s="43">
        <v>1</v>
      </c>
      <c r="Q70" s="43">
        <v>0</v>
      </c>
      <c r="R70" s="43">
        <v>1</v>
      </c>
      <c r="S70" s="43"/>
      <c r="T70" s="43"/>
      <c r="U70" s="43"/>
      <c r="V70" s="117">
        <v>1</v>
      </c>
      <c r="W70" s="117">
        <v>1</v>
      </c>
      <c r="X70" s="117">
        <v>1</v>
      </c>
      <c r="Y70" s="117"/>
      <c r="Z70" s="115">
        <f>SUM(N70:Y70)</f>
        <v>5</v>
      </c>
      <c r="AA70" s="118">
        <f t="shared" si="3"/>
        <v>0</v>
      </c>
      <c r="AB70" s="1212"/>
      <c r="AC70" s="1212"/>
      <c r="AD70" s="1212"/>
      <c r="AE70" s="1212"/>
      <c r="AF70" s="43">
        <v>0</v>
      </c>
      <c r="AG70" s="43">
        <v>0</v>
      </c>
      <c r="AH70" s="43">
        <v>1</v>
      </c>
      <c r="AI70" s="43">
        <v>0</v>
      </c>
      <c r="AJ70" s="43">
        <v>0</v>
      </c>
      <c r="AK70" s="43">
        <v>1</v>
      </c>
      <c r="AL70" s="43">
        <v>0</v>
      </c>
      <c r="AM70" s="43">
        <v>0</v>
      </c>
      <c r="AN70" s="117">
        <v>1</v>
      </c>
      <c r="AO70" s="117">
        <v>1</v>
      </c>
      <c r="AP70" s="117">
        <v>1</v>
      </c>
      <c r="AQ70" s="117">
        <v>1</v>
      </c>
      <c r="AR70" s="115">
        <f>SUM(AF70:AQ70)</f>
        <v>6</v>
      </c>
      <c r="AS70" s="118">
        <f t="shared" si="4"/>
        <v>0.19999999999999996</v>
      </c>
      <c r="AT70" s="1212"/>
      <c r="AU70" s="1212"/>
      <c r="AV70" s="1212"/>
      <c r="AW70" s="1212"/>
      <c r="AX70" s="43">
        <v>1</v>
      </c>
      <c r="AY70" s="43">
        <v>5</v>
      </c>
      <c r="AZ70" s="43">
        <v>3</v>
      </c>
      <c r="BA70" s="43">
        <f>2+1</f>
        <v>3</v>
      </c>
      <c r="BB70" s="43">
        <f>1+1+1+1+1</f>
        <v>5</v>
      </c>
      <c r="BC70" s="43">
        <v>1</v>
      </c>
      <c r="BD70" s="43">
        <v>1</v>
      </c>
      <c r="BE70" s="43">
        <f>2+1</f>
        <v>3</v>
      </c>
      <c r="BF70" s="117">
        <v>1</v>
      </c>
      <c r="BG70" s="117"/>
      <c r="BH70" s="117"/>
      <c r="BI70" s="117"/>
      <c r="BJ70" s="115">
        <f>SUM(AX70:BI70)</f>
        <v>23</v>
      </c>
      <c r="BK70" s="118">
        <f t="shared" si="5"/>
        <v>2.8333333333333335</v>
      </c>
      <c r="BL70" s="1212"/>
      <c r="BM70" s="1212"/>
      <c r="BN70" s="1212"/>
      <c r="BO70" s="1212"/>
    </row>
    <row r="71" spans="2:67" ht="42.75" customHeight="1" x14ac:dyDescent="0.3">
      <c r="B71" s="29"/>
      <c r="C71" s="30"/>
      <c r="D71" s="30"/>
      <c r="G71" s="1227"/>
      <c r="H71" s="114" t="s">
        <v>81</v>
      </c>
      <c r="I71" s="119">
        <v>34.4</v>
      </c>
      <c r="J71" s="119">
        <v>22</v>
      </c>
      <c r="K71" s="119">
        <v>18</v>
      </c>
      <c r="L71" s="120">
        <f t="shared" si="1"/>
        <v>1.5</v>
      </c>
      <c r="M71" s="120">
        <f t="shared" si="2"/>
        <v>0.36</v>
      </c>
      <c r="N71" s="119">
        <f t="shared" ref="N71:Z71" si="9">SUM(N69:N70)</f>
        <v>1</v>
      </c>
      <c r="O71" s="119">
        <f t="shared" si="9"/>
        <v>1</v>
      </c>
      <c r="P71" s="119">
        <f t="shared" si="9"/>
        <v>1</v>
      </c>
      <c r="Q71" s="119">
        <f t="shared" si="9"/>
        <v>2</v>
      </c>
      <c r="R71" s="119">
        <f t="shared" si="9"/>
        <v>2</v>
      </c>
      <c r="S71" s="119">
        <f t="shared" si="9"/>
        <v>2</v>
      </c>
      <c r="T71" s="119">
        <f t="shared" si="9"/>
        <v>0</v>
      </c>
      <c r="U71" s="119">
        <f t="shared" si="9"/>
        <v>1</v>
      </c>
      <c r="V71" s="119">
        <f t="shared" si="9"/>
        <v>1.5</v>
      </c>
      <c r="W71" s="119">
        <f t="shared" si="9"/>
        <v>2</v>
      </c>
      <c r="X71" s="119">
        <f t="shared" si="9"/>
        <v>2</v>
      </c>
      <c r="Y71" s="119">
        <f t="shared" si="9"/>
        <v>1</v>
      </c>
      <c r="Z71" s="119">
        <f t="shared" si="9"/>
        <v>16.5</v>
      </c>
      <c r="AA71" s="121">
        <f t="shared" si="3"/>
        <v>-8.333333333333337E-2</v>
      </c>
      <c r="AB71" s="1212"/>
      <c r="AC71" s="1212"/>
      <c r="AD71" s="1212"/>
      <c r="AE71" s="1212"/>
      <c r="AF71" s="119">
        <f t="shared" ref="AF71:AR71" si="10">SUM(AF69:AF70)</f>
        <v>1</v>
      </c>
      <c r="AG71" s="119">
        <f t="shared" si="10"/>
        <v>1</v>
      </c>
      <c r="AH71" s="119">
        <f t="shared" si="10"/>
        <v>2</v>
      </c>
      <c r="AI71" s="119">
        <f t="shared" si="10"/>
        <v>1</v>
      </c>
      <c r="AJ71" s="119">
        <f t="shared" si="10"/>
        <v>1</v>
      </c>
      <c r="AK71" s="119">
        <f t="shared" si="10"/>
        <v>2</v>
      </c>
      <c r="AL71" s="119">
        <f t="shared" si="10"/>
        <v>1</v>
      </c>
      <c r="AM71" s="119">
        <f t="shared" si="10"/>
        <v>1</v>
      </c>
      <c r="AN71" s="119">
        <f t="shared" si="10"/>
        <v>2</v>
      </c>
      <c r="AO71" s="119">
        <f t="shared" si="10"/>
        <v>2</v>
      </c>
      <c r="AP71" s="119">
        <f t="shared" si="10"/>
        <v>2</v>
      </c>
      <c r="AQ71" s="119">
        <f t="shared" si="10"/>
        <v>2</v>
      </c>
      <c r="AR71" s="119">
        <f t="shared" si="10"/>
        <v>18</v>
      </c>
      <c r="AS71" s="121">
        <f t="shared" si="4"/>
        <v>9.0909090909090828E-2</v>
      </c>
      <c r="AT71" s="1212"/>
      <c r="AU71" s="1212"/>
      <c r="AV71" s="1212"/>
      <c r="AW71" s="1212"/>
      <c r="AX71" s="119">
        <f t="shared" ref="AX71:BJ71" si="11">SUM(AX69:AX70)</f>
        <v>11</v>
      </c>
      <c r="AY71" s="119">
        <f t="shared" si="11"/>
        <v>7</v>
      </c>
      <c r="AZ71" s="119">
        <f t="shared" si="11"/>
        <v>8</v>
      </c>
      <c r="BA71" s="119">
        <f t="shared" si="11"/>
        <v>10</v>
      </c>
      <c r="BB71" s="119">
        <f t="shared" si="11"/>
        <v>10</v>
      </c>
      <c r="BC71" s="119">
        <f t="shared" si="11"/>
        <v>3</v>
      </c>
      <c r="BD71" s="119">
        <f t="shared" si="11"/>
        <v>6</v>
      </c>
      <c r="BE71" s="119">
        <f t="shared" si="11"/>
        <v>6</v>
      </c>
      <c r="BF71" s="119">
        <f t="shared" si="11"/>
        <v>3</v>
      </c>
      <c r="BG71" s="119">
        <f t="shared" si="11"/>
        <v>0</v>
      </c>
      <c r="BH71" s="119">
        <f t="shared" si="11"/>
        <v>0</v>
      </c>
      <c r="BI71" s="119">
        <f t="shared" si="11"/>
        <v>0</v>
      </c>
      <c r="BJ71" s="119">
        <f t="shared" si="11"/>
        <v>64</v>
      </c>
      <c r="BK71" s="121">
        <f t="shared" si="5"/>
        <v>2.5555555555555554</v>
      </c>
      <c r="BL71" s="1212"/>
      <c r="BM71" s="1212"/>
      <c r="BN71" s="1212"/>
      <c r="BO71" s="1212"/>
    </row>
    <row r="72" spans="2:67" ht="42.75" customHeight="1" x14ac:dyDescent="0.3">
      <c r="B72" s="29"/>
      <c r="C72" s="30"/>
      <c r="D72" s="30"/>
      <c r="G72" s="1227" t="s">
        <v>437</v>
      </c>
      <c r="H72" s="114" t="s">
        <v>434</v>
      </c>
      <c r="I72" s="52">
        <v>50</v>
      </c>
      <c r="J72" s="115">
        <v>82</v>
      </c>
      <c r="K72" s="115">
        <v>38</v>
      </c>
      <c r="L72" s="116">
        <f t="shared" si="1"/>
        <v>3.1666666666666665</v>
      </c>
      <c r="M72" s="117">
        <f t="shared" si="2"/>
        <v>0.76</v>
      </c>
      <c r="N72" s="43">
        <v>4</v>
      </c>
      <c r="O72" s="43">
        <v>3</v>
      </c>
      <c r="P72" s="43">
        <v>2</v>
      </c>
      <c r="Q72" s="43">
        <v>2</v>
      </c>
      <c r="R72" s="43">
        <v>1</v>
      </c>
      <c r="S72" s="43">
        <v>4</v>
      </c>
      <c r="T72" s="43">
        <v>2</v>
      </c>
      <c r="U72" s="43">
        <v>2</v>
      </c>
      <c r="V72" s="117">
        <v>3</v>
      </c>
      <c r="W72" s="117">
        <v>5</v>
      </c>
      <c r="X72" s="43">
        <v>5</v>
      </c>
      <c r="Y72" s="43">
        <v>4</v>
      </c>
      <c r="Z72" s="115">
        <f>SUM(N72:Y72)</f>
        <v>37</v>
      </c>
      <c r="AA72" s="118">
        <f t="shared" si="3"/>
        <v>-2.6315789473684181E-2</v>
      </c>
      <c r="AB72" s="1212"/>
      <c r="AC72" s="1212"/>
      <c r="AD72" s="1212"/>
      <c r="AE72" s="1212"/>
      <c r="AF72" s="43">
        <v>3</v>
      </c>
      <c r="AG72" s="43">
        <v>2</v>
      </c>
      <c r="AH72" s="43">
        <v>2</v>
      </c>
      <c r="AI72" s="43">
        <v>3</v>
      </c>
      <c r="AJ72" s="43">
        <v>2</v>
      </c>
      <c r="AK72" s="43">
        <v>3</v>
      </c>
      <c r="AL72" s="43">
        <v>3</v>
      </c>
      <c r="AM72" s="43">
        <v>3</v>
      </c>
      <c r="AN72" s="117">
        <v>3</v>
      </c>
      <c r="AO72" s="117">
        <v>2</v>
      </c>
      <c r="AP72" s="43">
        <v>2</v>
      </c>
      <c r="AQ72" s="43">
        <v>2</v>
      </c>
      <c r="AR72" s="115">
        <f>SUM(AF72:AQ72)</f>
        <v>30</v>
      </c>
      <c r="AS72" s="118">
        <f t="shared" si="4"/>
        <v>-0.18918918918918914</v>
      </c>
      <c r="AT72" s="1212"/>
      <c r="AU72" s="1212"/>
      <c r="AV72" s="1212"/>
      <c r="AW72" s="1212"/>
      <c r="AX72" s="43">
        <v>12</v>
      </c>
      <c r="AY72" s="43">
        <v>8</v>
      </c>
      <c r="AZ72" s="43">
        <v>13</v>
      </c>
      <c r="BA72" s="43">
        <f>1+1+1+3+2+1+2+2</f>
        <v>13</v>
      </c>
      <c r="BB72" s="43">
        <f>1+2+4+3+3</f>
        <v>13</v>
      </c>
      <c r="BC72" s="43">
        <v>0</v>
      </c>
      <c r="BD72" s="43">
        <f>1+3+1+3+3</f>
        <v>11</v>
      </c>
      <c r="BE72" s="43">
        <f>4+2+2+1+1</f>
        <v>10</v>
      </c>
      <c r="BF72" s="117">
        <f>1+2</f>
        <v>3</v>
      </c>
      <c r="BG72" s="117"/>
      <c r="BH72" s="43"/>
      <c r="BI72" s="43"/>
      <c r="BJ72" s="115">
        <f>SUM(AX72:BI72)</f>
        <v>83</v>
      </c>
      <c r="BK72" s="118">
        <f t="shared" si="5"/>
        <v>1.7666666666666666</v>
      </c>
      <c r="BL72" s="1212"/>
      <c r="BM72" s="1212"/>
      <c r="BN72" s="1212"/>
      <c r="BO72" s="1212"/>
    </row>
    <row r="73" spans="2:67" ht="42.75" customHeight="1" x14ac:dyDescent="0.3">
      <c r="B73" s="29"/>
      <c r="C73" s="30"/>
      <c r="D73" s="30"/>
      <c r="G73" s="1227"/>
      <c r="H73" s="114" t="s">
        <v>435</v>
      </c>
      <c r="I73" s="52">
        <v>23.4</v>
      </c>
      <c r="J73" s="115">
        <v>32</v>
      </c>
      <c r="K73" s="115">
        <v>26</v>
      </c>
      <c r="L73" s="116">
        <f t="shared" si="1"/>
        <v>2.1666666666666665</v>
      </c>
      <c r="M73" s="117">
        <f t="shared" si="2"/>
        <v>0.52</v>
      </c>
      <c r="N73" s="43"/>
      <c r="O73" s="43">
        <v>1</v>
      </c>
      <c r="P73" s="43">
        <v>1</v>
      </c>
      <c r="Q73" s="43"/>
      <c r="R73" s="43"/>
      <c r="S73" s="43">
        <v>1</v>
      </c>
      <c r="T73" s="43">
        <v>1</v>
      </c>
      <c r="U73" s="43"/>
      <c r="V73" s="117">
        <v>2</v>
      </c>
      <c r="W73" s="117">
        <v>5</v>
      </c>
      <c r="X73" s="43">
        <v>5</v>
      </c>
      <c r="Y73" s="43">
        <v>5</v>
      </c>
      <c r="Z73" s="115">
        <f>SUM(N73:Y73)</f>
        <v>21</v>
      </c>
      <c r="AA73" s="118">
        <f t="shared" si="3"/>
        <v>-0.19230769230769229</v>
      </c>
      <c r="AB73" s="1212"/>
      <c r="AC73" s="1212"/>
      <c r="AD73" s="1212"/>
      <c r="AE73" s="1212"/>
      <c r="AF73" s="43">
        <v>1</v>
      </c>
      <c r="AG73" s="43">
        <v>2</v>
      </c>
      <c r="AH73" s="43">
        <v>2</v>
      </c>
      <c r="AI73" s="43">
        <v>1</v>
      </c>
      <c r="AJ73" s="43">
        <v>2</v>
      </c>
      <c r="AK73" s="43">
        <v>2</v>
      </c>
      <c r="AL73" s="43">
        <v>2</v>
      </c>
      <c r="AM73" s="43">
        <v>2</v>
      </c>
      <c r="AN73" s="117">
        <v>2</v>
      </c>
      <c r="AO73" s="117">
        <v>2</v>
      </c>
      <c r="AP73" s="43">
        <v>2</v>
      </c>
      <c r="AQ73" s="43">
        <v>2</v>
      </c>
      <c r="AR73" s="115">
        <f>SUM(AF73:AQ73)</f>
        <v>22</v>
      </c>
      <c r="AS73" s="118">
        <f t="shared" si="4"/>
        <v>4.7619047619047672E-2</v>
      </c>
      <c r="AT73" s="1212"/>
      <c r="AU73" s="1212"/>
      <c r="AV73" s="1212"/>
      <c r="AW73" s="1212"/>
      <c r="AX73" s="43">
        <v>6</v>
      </c>
      <c r="AY73" s="43">
        <v>3</v>
      </c>
      <c r="AZ73" s="43">
        <v>4</v>
      </c>
      <c r="BA73" s="43">
        <f>2+3+1+2</f>
        <v>8</v>
      </c>
      <c r="BB73" s="43">
        <f>1+1+2+2+1</f>
        <v>7</v>
      </c>
      <c r="BC73" s="43">
        <v>0</v>
      </c>
      <c r="BD73" s="43">
        <f>1+1+1+1</f>
        <v>4</v>
      </c>
      <c r="BE73" s="43">
        <v>1</v>
      </c>
      <c r="BF73" s="117">
        <v>0</v>
      </c>
      <c r="BG73" s="117"/>
      <c r="BH73" s="43"/>
      <c r="BI73" s="43"/>
      <c r="BJ73" s="115">
        <f>SUM(AX73:BI73)</f>
        <v>33</v>
      </c>
      <c r="BK73" s="118">
        <f t="shared" si="5"/>
        <v>0.5</v>
      </c>
      <c r="BL73" s="1212"/>
      <c r="BM73" s="1212"/>
      <c r="BN73" s="1212"/>
      <c r="BO73" s="1212"/>
    </row>
    <row r="74" spans="2:67" ht="42.75" customHeight="1" x14ac:dyDescent="0.3">
      <c r="B74" s="29"/>
      <c r="C74" s="30"/>
      <c r="D74" s="30"/>
      <c r="G74" s="1227"/>
      <c r="H74" s="114" t="s">
        <v>81</v>
      </c>
      <c r="I74" s="119">
        <v>73.400000000000006</v>
      </c>
      <c r="J74" s="119">
        <v>114</v>
      </c>
      <c r="K74" s="119">
        <v>64</v>
      </c>
      <c r="L74" s="120">
        <f t="shared" si="1"/>
        <v>5.333333333333333</v>
      </c>
      <c r="M74" s="120">
        <f t="shared" si="2"/>
        <v>1.28</v>
      </c>
      <c r="N74" s="119">
        <f t="shared" ref="N74:Z74" si="12">SUM(N72:N73)</f>
        <v>4</v>
      </c>
      <c r="O74" s="119">
        <f t="shared" si="12"/>
        <v>4</v>
      </c>
      <c r="P74" s="119">
        <f t="shared" si="12"/>
        <v>3</v>
      </c>
      <c r="Q74" s="119">
        <f t="shared" si="12"/>
        <v>2</v>
      </c>
      <c r="R74" s="119">
        <f t="shared" si="12"/>
        <v>1</v>
      </c>
      <c r="S74" s="119">
        <f t="shared" si="12"/>
        <v>5</v>
      </c>
      <c r="T74" s="119">
        <f t="shared" si="12"/>
        <v>3</v>
      </c>
      <c r="U74" s="119">
        <f t="shared" si="12"/>
        <v>2</v>
      </c>
      <c r="V74" s="119">
        <f t="shared" si="12"/>
        <v>5</v>
      </c>
      <c r="W74" s="119">
        <f t="shared" si="12"/>
        <v>10</v>
      </c>
      <c r="X74" s="119">
        <f t="shared" si="12"/>
        <v>10</v>
      </c>
      <c r="Y74" s="119">
        <f t="shared" si="12"/>
        <v>9</v>
      </c>
      <c r="Z74" s="119">
        <f t="shared" si="12"/>
        <v>58</v>
      </c>
      <c r="AA74" s="121">
        <f t="shared" si="3"/>
        <v>-9.375E-2</v>
      </c>
      <c r="AB74" s="1212"/>
      <c r="AC74" s="1212"/>
      <c r="AD74" s="1212"/>
      <c r="AE74" s="1212"/>
      <c r="AF74" s="119">
        <f t="shared" ref="AF74:AR74" si="13">SUM(AF72:AF73)</f>
        <v>4</v>
      </c>
      <c r="AG74" s="119">
        <f t="shared" si="13"/>
        <v>4</v>
      </c>
      <c r="AH74" s="119">
        <f t="shared" si="13"/>
        <v>4</v>
      </c>
      <c r="AI74" s="119">
        <f t="shared" si="13"/>
        <v>4</v>
      </c>
      <c r="AJ74" s="119">
        <f t="shared" si="13"/>
        <v>4</v>
      </c>
      <c r="AK74" s="119">
        <f t="shared" si="13"/>
        <v>5</v>
      </c>
      <c r="AL74" s="119">
        <f t="shared" si="13"/>
        <v>5</v>
      </c>
      <c r="AM74" s="119">
        <f t="shared" si="13"/>
        <v>5</v>
      </c>
      <c r="AN74" s="119">
        <f t="shared" si="13"/>
        <v>5</v>
      </c>
      <c r="AO74" s="119">
        <f t="shared" si="13"/>
        <v>4</v>
      </c>
      <c r="AP74" s="119">
        <f t="shared" si="13"/>
        <v>4</v>
      </c>
      <c r="AQ74" s="119">
        <f t="shared" si="13"/>
        <v>4</v>
      </c>
      <c r="AR74" s="119">
        <f t="shared" si="13"/>
        <v>52</v>
      </c>
      <c r="AS74" s="121">
        <f t="shared" si="4"/>
        <v>-0.10344827586206895</v>
      </c>
      <c r="AT74" s="1212"/>
      <c r="AU74" s="1212"/>
      <c r="AV74" s="1212"/>
      <c r="AW74" s="1212"/>
      <c r="AX74" s="119">
        <f t="shared" ref="AX74:BJ74" si="14">SUM(AX72:AX73)</f>
        <v>18</v>
      </c>
      <c r="AY74" s="119">
        <f t="shared" si="14"/>
        <v>11</v>
      </c>
      <c r="AZ74" s="119">
        <f t="shared" si="14"/>
        <v>17</v>
      </c>
      <c r="BA74" s="119">
        <f t="shared" si="14"/>
        <v>21</v>
      </c>
      <c r="BB74" s="119">
        <f t="shared" si="14"/>
        <v>20</v>
      </c>
      <c r="BC74" s="119">
        <f t="shared" si="14"/>
        <v>0</v>
      </c>
      <c r="BD74" s="119">
        <f t="shared" si="14"/>
        <v>15</v>
      </c>
      <c r="BE74" s="119">
        <f t="shared" si="14"/>
        <v>11</v>
      </c>
      <c r="BF74" s="119">
        <f t="shared" si="14"/>
        <v>3</v>
      </c>
      <c r="BG74" s="119">
        <f t="shared" si="14"/>
        <v>0</v>
      </c>
      <c r="BH74" s="119">
        <f t="shared" si="14"/>
        <v>0</v>
      </c>
      <c r="BI74" s="119">
        <f t="shared" si="14"/>
        <v>0</v>
      </c>
      <c r="BJ74" s="119">
        <f t="shared" si="14"/>
        <v>116</v>
      </c>
      <c r="BK74" s="121">
        <f t="shared" si="5"/>
        <v>1.2307692307692308</v>
      </c>
      <c r="BL74" s="1212"/>
      <c r="BM74" s="1212"/>
      <c r="BN74" s="1212"/>
      <c r="BO74" s="1212"/>
    </row>
    <row r="75" spans="2:67" ht="42.75" customHeight="1" x14ac:dyDescent="0.3">
      <c r="B75" s="29"/>
      <c r="C75" s="30"/>
      <c r="D75" s="30"/>
      <c r="G75" s="1227" t="s">
        <v>102</v>
      </c>
      <c r="H75" s="114" t="s">
        <v>434</v>
      </c>
      <c r="I75" s="52">
        <v>53</v>
      </c>
      <c r="J75" s="115">
        <v>21</v>
      </c>
      <c r="K75" s="115">
        <v>33</v>
      </c>
      <c r="L75" s="116">
        <f t="shared" si="1"/>
        <v>2.75</v>
      </c>
      <c r="M75" s="117">
        <f t="shared" si="2"/>
        <v>0.66</v>
      </c>
      <c r="N75" s="43"/>
      <c r="O75" s="43"/>
      <c r="P75" s="43"/>
      <c r="Q75" s="43">
        <v>12</v>
      </c>
      <c r="R75" s="43"/>
      <c r="S75" s="43">
        <v>5</v>
      </c>
      <c r="T75" s="43"/>
      <c r="U75" s="43">
        <v>4</v>
      </c>
      <c r="V75" s="43"/>
      <c r="W75" s="43">
        <v>8</v>
      </c>
      <c r="X75" s="43"/>
      <c r="Y75" s="43">
        <v>3</v>
      </c>
      <c r="Z75" s="115">
        <f>SUM(N75:Y75)</f>
        <v>32</v>
      </c>
      <c r="AA75" s="118">
        <f t="shared" si="3"/>
        <v>-3.0303030303030276E-2</v>
      </c>
      <c r="AB75" s="1212"/>
      <c r="AC75" s="1212"/>
      <c r="AD75" s="1212"/>
      <c r="AE75" s="1212"/>
      <c r="AF75" s="43">
        <v>0</v>
      </c>
      <c r="AG75" s="43">
        <v>7</v>
      </c>
      <c r="AH75" s="43">
        <v>0</v>
      </c>
      <c r="AI75" s="43">
        <v>0</v>
      </c>
      <c r="AJ75" s="43">
        <v>8</v>
      </c>
      <c r="AK75" s="43">
        <v>0</v>
      </c>
      <c r="AL75" s="43">
        <v>0</v>
      </c>
      <c r="AM75" s="43">
        <v>6</v>
      </c>
      <c r="AN75" s="43">
        <v>0</v>
      </c>
      <c r="AO75" s="43">
        <v>0</v>
      </c>
      <c r="AP75" s="43">
        <v>0</v>
      </c>
      <c r="AQ75" s="43">
        <v>0</v>
      </c>
      <c r="AR75" s="115">
        <f>SUM(AF75:AQ75)</f>
        <v>21</v>
      </c>
      <c r="AS75" s="118">
        <f t="shared" si="4"/>
        <v>-0.34375</v>
      </c>
      <c r="AT75" s="1212"/>
      <c r="AU75" s="1212"/>
      <c r="AV75" s="1212"/>
      <c r="AW75" s="1212"/>
      <c r="AX75" s="43">
        <v>0</v>
      </c>
      <c r="AY75" s="43">
        <v>0</v>
      </c>
      <c r="AZ75" s="43">
        <v>0</v>
      </c>
      <c r="BA75" s="43">
        <f>5+4+3</f>
        <v>12</v>
      </c>
      <c r="BB75" s="43">
        <v>0</v>
      </c>
      <c r="BC75" s="43">
        <v>0</v>
      </c>
      <c r="BD75" s="43">
        <v>4</v>
      </c>
      <c r="BE75" s="43">
        <v>0</v>
      </c>
      <c r="BF75" s="43">
        <v>1</v>
      </c>
      <c r="BG75" s="43"/>
      <c r="BH75" s="43"/>
      <c r="BI75" s="43"/>
      <c r="BJ75" s="115">
        <f>SUM(AX75:BI75)</f>
        <v>17</v>
      </c>
      <c r="BK75" s="118">
        <f t="shared" si="5"/>
        <v>-0.19047619047619047</v>
      </c>
      <c r="BL75" s="1212"/>
      <c r="BM75" s="1212"/>
      <c r="BN75" s="1212"/>
      <c r="BO75" s="1212"/>
    </row>
    <row r="76" spans="2:67" ht="42.75" customHeight="1" x14ac:dyDescent="0.3">
      <c r="B76" s="29"/>
      <c r="C76" s="30"/>
      <c r="D76" s="30"/>
      <c r="G76" s="1227"/>
      <c r="H76" s="114" t="s">
        <v>435</v>
      </c>
      <c r="I76" s="52">
        <v>26</v>
      </c>
      <c r="J76" s="115">
        <v>14</v>
      </c>
      <c r="K76" s="115">
        <v>13</v>
      </c>
      <c r="L76" s="116">
        <f t="shared" si="1"/>
        <v>1.0833333333333333</v>
      </c>
      <c r="M76" s="117">
        <f t="shared" si="2"/>
        <v>0.26</v>
      </c>
      <c r="N76" s="43"/>
      <c r="O76" s="43"/>
      <c r="P76" s="43"/>
      <c r="Q76" s="43">
        <v>2</v>
      </c>
      <c r="R76" s="43"/>
      <c r="S76" s="43">
        <v>1</v>
      </c>
      <c r="T76" s="43"/>
      <c r="U76" s="43"/>
      <c r="V76" s="43"/>
      <c r="W76" s="43">
        <v>5</v>
      </c>
      <c r="X76" s="43"/>
      <c r="Y76" s="43">
        <v>4</v>
      </c>
      <c r="Z76" s="115">
        <f>SUM(N76:Y76)</f>
        <v>12</v>
      </c>
      <c r="AA76" s="118">
        <f t="shared" si="3"/>
        <v>-7.6923076923076872E-2</v>
      </c>
      <c r="AB76" s="1212"/>
      <c r="AC76" s="1212"/>
      <c r="AD76" s="1212"/>
      <c r="AE76" s="1212"/>
      <c r="AF76" s="43">
        <v>0</v>
      </c>
      <c r="AG76" s="43">
        <v>2</v>
      </c>
      <c r="AH76" s="43">
        <v>0</v>
      </c>
      <c r="AI76" s="43">
        <v>0</v>
      </c>
      <c r="AJ76" s="43">
        <v>4</v>
      </c>
      <c r="AK76" s="43">
        <v>0</v>
      </c>
      <c r="AL76" s="43">
        <v>0</v>
      </c>
      <c r="AM76" s="43">
        <v>2</v>
      </c>
      <c r="AN76" s="43">
        <v>0</v>
      </c>
      <c r="AO76" s="43">
        <v>0</v>
      </c>
      <c r="AP76" s="43">
        <v>0</v>
      </c>
      <c r="AQ76" s="43">
        <v>0</v>
      </c>
      <c r="AR76" s="115">
        <f>SUM(AF76:AQ76)</f>
        <v>8</v>
      </c>
      <c r="AS76" s="118">
        <f t="shared" si="4"/>
        <v>-0.33333333333333337</v>
      </c>
      <c r="AT76" s="1212"/>
      <c r="AU76" s="1212"/>
      <c r="AV76" s="1212"/>
      <c r="AW76" s="1212"/>
      <c r="AX76" s="43">
        <v>0</v>
      </c>
      <c r="AY76" s="43">
        <v>0</v>
      </c>
      <c r="AZ76" s="43">
        <v>0</v>
      </c>
      <c r="BA76" s="43">
        <f>4+3</f>
        <v>7</v>
      </c>
      <c r="BB76" s="43">
        <v>0</v>
      </c>
      <c r="BC76" s="43">
        <v>0</v>
      </c>
      <c r="BD76" s="43">
        <v>4</v>
      </c>
      <c r="BE76" s="43">
        <v>0</v>
      </c>
      <c r="BF76" s="43">
        <v>1</v>
      </c>
      <c r="BG76" s="43"/>
      <c r="BH76" s="43"/>
      <c r="BI76" s="43"/>
      <c r="BJ76" s="115">
        <f>SUM(AX76:BI76)</f>
        <v>12</v>
      </c>
      <c r="BK76" s="118">
        <f t="shared" si="5"/>
        <v>0.5</v>
      </c>
      <c r="BL76" s="1212"/>
      <c r="BM76" s="1212"/>
      <c r="BN76" s="1212"/>
      <c r="BO76" s="1212"/>
    </row>
    <row r="77" spans="2:67" ht="42.75" customHeight="1" x14ac:dyDescent="0.3">
      <c r="B77" s="29"/>
      <c r="C77" s="30"/>
      <c r="D77" s="30"/>
      <c r="G77" s="1227"/>
      <c r="H77" s="114" t="s">
        <v>81</v>
      </c>
      <c r="I77" s="119">
        <v>79</v>
      </c>
      <c r="J77" s="119">
        <v>35</v>
      </c>
      <c r="K77" s="119">
        <v>46</v>
      </c>
      <c r="L77" s="120">
        <f t="shared" si="1"/>
        <v>3.8333333333333335</v>
      </c>
      <c r="M77" s="120">
        <f t="shared" si="2"/>
        <v>0.92</v>
      </c>
      <c r="N77" s="119">
        <f t="shared" ref="N77:Z77" si="15">SUM(N75:N76)</f>
        <v>0</v>
      </c>
      <c r="O77" s="119">
        <f t="shared" si="15"/>
        <v>0</v>
      </c>
      <c r="P77" s="119">
        <f t="shared" si="15"/>
        <v>0</v>
      </c>
      <c r="Q77" s="119">
        <f t="shared" si="15"/>
        <v>14</v>
      </c>
      <c r="R77" s="119">
        <f t="shared" si="15"/>
        <v>0</v>
      </c>
      <c r="S77" s="119">
        <f t="shared" si="15"/>
        <v>6</v>
      </c>
      <c r="T77" s="119">
        <f t="shared" si="15"/>
        <v>0</v>
      </c>
      <c r="U77" s="119">
        <f t="shared" si="15"/>
        <v>4</v>
      </c>
      <c r="V77" s="119">
        <f t="shared" si="15"/>
        <v>0</v>
      </c>
      <c r="W77" s="119">
        <f t="shared" si="15"/>
        <v>13</v>
      </c>
      <c r="X77" s="119">
        <f t="shared" si="15"/>
        <v>0</v>
      </c>
      <c r="Y77" s="119">
        <f t="shared" si="15"/>
        <v>7</v>
      </c>
      <c r="Z77" s="119">
        <f t="shared" si="15"/>
        <v>44</v>
      </c>
      <c r="AA77" s="121">
        <f t="shared" si="3"/>
        <v>-4.3478260869565188E-2</v>
      </c>
      <c r="AB77" s="1212"/>
      <c r="AC77" s="1212"/>
      <c r="AD77" s="1212"/>
      <c r="AE77" s="1212"/>
      <c r="AF77" s="119">
        <f t="shared" ref="AF77:AR77" si="16">SUM(AF75:AF76)</f>
        <v>0</v>
      </c>
      <c r="AG77" s="119">
        <f t="shared" si="16"/>
        <v>9</v>
      </c>
      <c r="AH77" s="119">
        <f t="shared" si="16"/>
        <v>0</v>
      </c>
      <c r="AI77" s="119">
        <f t="shared" si="16"/>
        <v>0</v>
      </c>
      <c r="AJ77" s="119">
        <f t="shared" si="16"/>
        <v>12</v>
      </c>
      <c r="AK77" s="119">
        <f t="shared" si="16"/>
        <v>0</v>
      </c>
      <c r="AL77" s="119">
        <f t="shared" si="16"/>
        <v>0</v>
      </c>
      <c r="AM77" s="119">
        <f t="shared" si="16"/>
        <v>8</v>
      </c>
      <c r="AN77" s="119">
        <f t="shared" si="16"/>
        <v>0</v>
      </c>
      <c r="AO77" s="119">
        <f t="shared" si="16"/>
        <v>0</v>
      </c>
      <c r="AP77" s="119">
        <f t="shared" si="16"/>
        <v>0</v>
      </c>
      <c r="AQ77" s="119">
        <f t="shared" si="16"/>
        <v>0</v>
      </c>
      <c r="AR77" s="119">
        <f t="shared" si="16"/>
        <v>29</v>
      </c>
      <c r="AS77" s="121">
        <f t="shared" si="4"/>
        <v>-0.34090909090909094</v>
      </c>
      <c r="AT77" s="1212"/>
      <c r="AU77" s="1212"/>
      <c r="AV77" s="1212"/>
      <c r="AW77" s="1212"/>
      <c r="AX77" s="119">
        <f t="shared" ref="AX77:BJ77" si="17">SUM(AX75:AX76)</f>
        <v>0</v>
      </c>
      <c r="AY77" s="119">
        <f t="shared" si="17"/>
        <v>0</v>
      </c>
      <c r="AZ77" s="119">
        <f t="shared" si="17"/>
        <v>0</v>
      </c>
      <c r="BA77" s="119">
        <f t="shared" si="17"/>
        <v>19</v>
      </c>
      <c r="BB77" s="119">
        <f t="shared" si="17"/>
        <v>0</v>
      </c>
      <c r="BC77" s="119">
        <f t="shared" si="17"/>
        <v>0</v>
      </c>
      <c r="BD77" s="119">
        <f t="shared" si="17"/>
        <v>8</v>
      </c>
      <c r="BE77" s="119">
        <f t="shared" si="17"/>
        <v>0</v>
      </c>
      <c r="BF77" s="119">
        <f t="shared" si="17"/>
        <v>2</v>
      </c>
      <c r="BG77" s="119">
        <f t="shared" si="17"/>
        <v>0</v>
      </c>
      <c r="BH77" s="119">
        <f t="shared" si="17"/>
        <v>0</v>
      </c>
      <c r="BI77" s="119">
        <f t="shared" si="17"/>
        <v>0</v>
      </c>
      <c r="BJ77" s="119">
        <f t="shared" si="17"/>
        <v>29</v>
      </c>
      <c r="BK77" s="121">
        <f t="shared" si="5"/>
        <v>0</v>
      </c>
      <c r="BL77" s="1212"/>
      <c r="BM77" s="1212"/>
      <c r="BN77" s="1212"/>
      <c r="BO77" s="1212"/>
    </row>
    <row r="78" spans="2:67" ht="42.75" customHeight="1" x14ac:dyDescent="0.3">
      <c r="B78" s="29"/>
      <c r="C78" s="30"/>
      <c r="D78" s="30"/>
      <c r="G78" s="1227" t="s">
        <v>438</v>
      </c>
      <c r="H78" s="114" t="s">
        <v>434</v>
      </c>
      <c r="I78" s="52">
        <v>124</v>
      </c>
      <c r="J78" s="115">
        <v>77</v>
      </c>
      <c r="K78" s="115">
        <v>68</v>
      </c>
      <c r="L78" s="116">
        <f t="shared" si="1"/>
        <v>5.666666666666667</v>
      </c>
      <c r="M78" s="117">
        <f t="shared" si="2"/>
        <v>1.36</v>
      </c>
      <c r="N78" s="43">
        <v>5</v>
      </c>
      <c r="O78" s="43">
        <v>4</v>
      </c>
      <c r="P78" s="43">
        <v>4</v>
      </c>
      <c r="Q78" s="43">
        <v>5</v>
      </c>
      <c r="R78" s="43">
        <v>2</v>
      </c>
      <c r="S78" s="43">
        <v>5</v>
      </c>
      <c r="T78" s="43">
        <v>3</v>
      </c>
      <c r="U78" s="43">
        <v>5</v>
      </c>
      <c r="V78" s="117">
        <v>6</v>
      </c>
      <c r="W78" s="117">
        <v>8</v>
      </c>
      <c r="X78" s="43">
        <v>8</v>
      </c>
      <c r="Y78" s="43">
        <v>8</v>
      </c>
      <c r="Z78" s="115">
        <f>SUM(N78:Y78)</f>
        <v>63</v>
      </c>
      <c r="AA78" s="118">
        <f t="shared" si="3"/>
        <v>-7.3529411764705843E-2</v>
      </c>
      <c r="AB78" s="1212"/>
      <c r="AC78" s="1212"/>
      <c r="AD78" s="1212"/>
      <c r="AE78" s="1212"/>
      <c r="AF78" s="43">
        <v>4</v>
      </c>
      <c r="AG78" s="43">
        <v>5</v>
      </c>
      <c r="AH78" s="43">
        <v>5</v>
      </c>
      <c r="AI78" s="43">
        <v>5</v>
      </c>
      <c r="AJ78" s="43">
        <v>5</v>
      </c>
      <c r="AK78" s="43">
        <v>6</v>
      </c>
      <c r="AL78" s="43">
        <v>5</v>
      </c>
      <c r="AM78" s="43">
        <v>6</v>
      </c>
      <c r="AN78" s="117">
        <v>6</v>
      </c>
      <c r="AO78" s="117">
        <v>0</v>
      </c>
      <c r="AP78" s="43">
        <v>0</v>
      </c>
      <c r="AQ78" s="43">
        <v>0</v>
      </c>
      <c r="AR78" s="115">
        <f>SUM(AF78:AQ78)</f>
        <v>47</v>
      </c>
      <c r="AS78" s="118">
        <f t="shared" si="4"/>
        <v>-0.25396825396825395</v>
      </c>
      <c r="AT78" s="1212"/>
      <c r="AU78" s="1212"/>
      <c r="AV78" s="1212"/>
      <c r="AW78" s="1212"/>
      <c r="AX78" s="43">
        <v>10</v>
      </c>
      <c r="AY78" s="43">
        <v>8</v>
      </c>
      <c r="AZ78" s="43">
        <v>7</v>
      </c>
      <c r="BA78" s="43">
        <f>8+2+3+2</f>
        <v>15</v>
      </c>
      <c r="BB78" s="43">
        <f>3+4</f>
        <v>7</v>
      </c>
      <c r="BC78" s="43">
        <f>6+4</f>
        <v>10</v>
      </c>
      <c r="BD78" s="43">
        <f>3+13+3+1</f>
        <v>20</v>
      </c>
      <c r="BE78" s="43">
        <f>1+1+3</f>
        <v>5</v>
      </c>
      <c r="BF78" s="117">
        <v>0</v>
      </c>
      <c r="BG78" s="117"/>
      <c r="BH78" s="43"/>
      <c r="BI78" s="43"/>
      <c r="BJ78" s="115">
        <f>SUM(AX78:BI78)</f>
        <v>82</v>
      </c>
      <c r="BK78" s="118">
        <f t="shared" si="5"/>
        <v>0.74468085106382986</v>
      </c>
      <c r="BL78" s="1212"/>
      <c r="BM78" s="1212"/>
      <c r="BN78" s="1212"/>
      <c r="BO78" s="1212"/>
    </row>
    <row r="79" spans="2:67" ht="42.75" customHeight="1" x14ac:dyDescent="0.3">
      <c r="B79" s="29"/>
      <c r="C79" s="30"/>
      <c r="D79" s="30"/>
      <c r="G79" s="1227"/>
      <c r="H79" s="114" t="s">
        <v>435</v>
      </c>
      <c r="I79" s="52">
        <v>59.800000000000004</v>
      </c>
      <c r="J79" s="115">
        <v>16</v>
      </c>
      <c r="K79" s="115">
        <v>18</v>
      </c>
      <c r="L79" s="116">
        <f t="shared" si="1"/>
        <v>1.5</v>
      </c>
      <c r="M79" s="117">
        <f t="shared" si="2"/>
        <v>0.36</v>
      </c>
      <c r="N79" s="43">
        <v>1</v>
      </c>
      <c r="O79" s="43"/>
      <c r="P79" s="43">
        <v>3</v>
      </c>
      <c r="Q79" s="43">
        <v>1</v>
      </c>
      <c r="R79" s="43">
        <v>1</v>
      </c>
      <c r="S79" s="43">
        <v>2</v>
      </c>
      <c r="T79" s="43"/>
      <c r="U79" s="43"/>
      <c r="V79" s="117">
        <v>1</v>
      </c>
      <c r="W79" s="117">
        <v>3</v>
      </c>
      <c r="X79" s="43">
        <v>3</v>
      </c>
      <c r="Y79" s="43">
        <v>3</v>
      </c>
      <c r="Z79" s="115">
        <f>SUM(N79:Y79)</f>
        <v>18</v>
      </c>
      <c r="AA79" s="118">
        <f t="shared" si="3"/>
        <v>0</v>
      </c>
      <c r="AB79" s="1212"/>
      <c r="AC79" s="1212"/>
      <c r="AD79" s="1212"/>
      <c r="AE79" s="1212"/>
      <c r="AF79" s="43">
        <v>1</v>
      </c>
      <c r="AG79" s="43">
        <v>1</v>
      </c>
      <c r="AH79" s="43">
        <v>2</v>
      </c>
      <c r="AI79" s="43">
        <v>1</v>
      </c>
      <c r="AJ79" s="43">
        <v>1</v>
      </c>
      <c r="AK79" s="43">
        <v>2</v>
      </c>
      <c r="AL79" s="43">
        <v>1</v>
      </c>
      <c r="AM79" s="43">
        <v>1</v>
      </c>
      <c r="AN79" s="117">
        <v>2</v>
      </c>
      <c r="AO79" s="117">
        <v>0</v>
      </c>
      <c r="AP79" s="43">
        <v>0</v>
      </c>
      <c r="AQ79" s="43">
        <v>0</v>
      </c>
      <c r="AR79" s="115">
        <f>SUM(AF79:AQ79)</f>
        <v>12</v>
      </c>
      <c r="AS79" s="118">
        <f t="shared" si="4"/>
        <v>-0.33333333333333337</v>
      </c>
      <c r="AT79" s="1212"/>
      <c r="AU79" s="1212"/>
      <c r="AV79" s="1212"/>
      <c r="AW79" s="1212"/>
      <c r="AX79" s="43">
        <v>5</v>
      </c>
      <c r="AY79" s="43">
        <v>3</v>
      </c>
      <c r="AZ79" s="43">
        <v>3</v>
      </c>
      <c r="BA79" s="43">
        <f>2+25+2</f>
        <v>29</v>
      </c>
      <c r="BB79" s="43">
        <f>3+5</f>
        <v>8</v>
      </c>
      <c r="BC79" s="43">
        <v>5</v>
      </c>
      <c r="BD79" s="43">
        <f>3+6+6+1</f>
        <v>16</v>
      </c>
      <c r="BE79" s="43">
        <f>1+3</f>
        <v>4</v>
      </c>
      <c r="BF79" s="117">
        <v>0</v>
      </c>
      <c r="BG79" s="117"/>
      <c r="BH79" s="43"/>
      <c r="BI79" s="43"/>
      <c r="BJ79" s="115">
        <f>SUM(AX79:BI79)</f>
        <v>73</v>
      </c>
      <c r="BK79" s="118">
        <f t="shared" si="5"/>
        <v>5.083333333333333</v>
      </c>
      <c r="BL79" s="1212"/>
      <c r="BM79" s="1212"/>
      <c r="BN79" s="1212"/>
      <c r="BO79" s="1212"/>
    </row>
    <row r="80" spans="2:67" ht="42.75" customHeight="1" x14ac:dyDescent="0.3">
      <c r="B80" s="29"/>
      <c r="C80" s="30"/>
      <c r="D80" s="30"/>
      <c r="G80" s="1227"/>
      <c r="H80" s="114" t="s">
        <v>81</v>
      </c>
      <c r="I80" s="119">
        <v>183.8</v>
      </c>
      <c r="J80" s="119">
        <v>93</v>
      </c>
      <c r="K80" s="119">
        <v>86</v>
      </c>
      <c r="L80" s="120">
        <f t="shared" si="1"/>
        <v>7.166666666666667</v>
      </c>
      <c r="M80" s="120">
        <f t="shared" si="2"/>
        <v>1.72</v>
      </c>
      <c r="N80" s="119">
        <f t="shared" ref="N80:Z80" si="18">SUM(N78:N79)</f>
        <v>6</v>
      </c>
      <c r="O80" s="119">
        <f t="shared" si="18"/>
        <v>4</v>
      </c>
      <c r="P80" s="119">
        <f t="shared" si="18"/>
        <v>7</v>
      </c>
      <c r="Q80" s="119">
        <f t="shared" si="18"/>
        <v>6</v>
      </c>
      <c r="R80" s="119">
        <f t="shared" si="18"/>
        <v>3</v>
      </c>
      <c r="S80" s="119">
        <f t="shared" si="18"/>
        <v>7</v>
      </c>
      <c r="T80" s="119">
        <f t="shared" si="18"/>
        <v>3</v>
      </c>
      <c r="U80" s="119">
        <f t="shared" si="18"/>
        <v>5</v>
      </c>
      <c r="V80" s="119">
        <f t="shared" si="18"/>
        <v>7</v>
      </c>
      <c r="W80" s="119">
        <f t="shared" si="18"/>
        <v>11</v>
      </c>
      <c r="X80" s="119">
        <f t="shared" si="18"/>
        <v>11</v>
      </c>
      <c r="Y80" s="119">
        <f t="shared" si="18"/>
        <v>11</v>
      </c>
      <c r="Z80" s="119">
        <f t="shared" si="18"/>
        <v>81</v>
      </c>
      <c r="AA80" s="121">
        <f t="shared" si="3"/>
        <v>-5.8139534883720922E-2</v>
      </c>
      <c r="AB80" s="1212"/>
      <c r="AC80" s="1212"/>
      <c r="AD80" s="1212"/>
      <c r="AE80" s="1212"/>
      <c r="AF80" s="119">
        <f t="shared" ref="AF80:AR80" si="19">SUM(AF78:AF79)</f>
        <v>5</v>
      </c>
      <c r="AG80" s="119">
        <f t="shared" si="19"/>
        <v>6</v>
      </c>
      <c r="AH80" s="119">
        <f t="shared" si="19"/>
        <v>7</v>
      </c>
      <c r="AI80" s="119">
        <f t="shared" si="19"/>
        <v>6</v>
      </c>
      <c r="AJ80" s="119">
        <f t="shared" si="19"/>
        <v>6</v>
      </c>
      <c r="AK80" s="119">
        <f t="shared" si="19"/>
        <v>8</v>
      </c>
      <c r="AL80" s="119">
        <f t="shared" si="19"/>
        <v>6</v>
      </c>
      <c r="AM80" s="119">
        <f t="shared" si="19"/>
        <v>7</v>
      </c>
      <c r="AN80" s="119">
        <f t="shared" si="19"/>
        <v>8</v>
      </c>
      <c r="AO80" s="119">
        <f t="shared" si="19"/>
        <v>0</v>
      </c>
      <c r="AP80" s="119">
        <f t="shared" si="19"/>
        <v>0</v>
      </c>
      <c r="AQ80" s="119">
        <f t="shared" si="19"/>
        <v>0</v>
      </c>
      <c r="AR80" s="119">
        <f t="shared" si="19"/>
        <v>59</v>
      </c>
      <c r="AS80" s="121">
        <f t="shared" si="4"/>
        <v>-0.27160493827160492</v>
      </c>
      <c r="AT80" s="1212"/>
      <c r="AU80" s="1212"/>
      <c r="AV80" s="1212"/>
      <c r="AW80" s="1212"/>
      <c r="AX80" s="119">
        <f t="shared" ref="AX80:BJ80" si="20">SUM(AX78:AX79)</f>
        <v>15</v>
      </c>
      <c r="AY80" s="119">
        <f t="shared" si="20"/>
        <v>11</v>
      </c>
      <c r="AZ80" s="119">
        <f t="shared" si="20"/>
        <v>10</v>
      </c>
      <c r="BA80" s="119">
        <f t="shared" si="20"/>
        <v>44</v>
      </c>
      <c r="BB80" s="119">
        <f t="shared" si="20"/>
        <v>15</v>
      </c>
      <c r="BC80" s="119">
        <f t="shared" si="20"/>
        <v>15</v>
      </c>
      <c r="BD80" s="119">
        <f t="shared" si="20"/>
        <v>36</v>
      </c>
      <c r="BE80" s="119">
        <f t="shared" si="20"/>
        <v>9</v>
      </c>
      <c r="BF80" s="119">
        <f t="shared" si="20"/>
        <v>0</v>
      </c>
      <c r="BG80" s="119">
        <f t="shared" si="20"/>
        <v>0</v>
      </c>
      <c r="BH80" s="119">
        <f t="shared" si="20"/>
        <v>0</v>
      </c>
      <c r="BI80" s="119">
        <f t="shared" si="20"/>
        <v>0</v>
      </c>
      <c r="BJ80" s="119">
        <f t="shared" si="20"/>
        <v>155</v>
      </c>
      <c r="BK80" s="121">
        <f t="shared" si="5"/>
        <v>1.6271186440677967</v>
      </c>
      <c r="BL80" s="1212"/>
      <c r="BM80" s="1212"/>
      <c r="BN80" s="1212"/>
      <c r="BO80" s="1212"/>
    </row>
    <row r="81" spans="1:67" ht="42.75" customHeight="1" x14ac:dyDescent="0.3">
      <c r="B81" s="29"/>
      <c r="C81" s="30"/>
      <c r="D81" s="30"/>
      <c r="G81" s="1227" t="s">
        <v>439</v>
      </c>
      <c r="H81" s="114" t="s">
        <v>434</v>
      </c>
      <c r="I81" s="52">
        <v>140</v>
      </c>
      <c r="J81" s="115">
        <v>48</v>
      </c>
      <c r="K81" s="115">
        <v>43</v>
      </c>
      <c r="L81" s="116">
        <f t="shared" si="1"/>
        <v>3.5833333333333335</v>
      </c>
      <c r="M81" s="117">
        <f t="shared" si="2"/>
        <v>0.86</v>
      </c>
      <c r="N81" s="43">
        <v>4</v>
      </c>
      <c r="O81" s="43">
        <v>5</v>
      </c>
      <c r="P81" s="43">
        <v>2</v>
      </c>
      <c r="Q81" s="43"/>
      <c r="R81" s="43">
        <v>2</v>
      </c>
      <c r="S81" s="43">
        <v>2</v>
      </c>
      <c r="T81" s="43">
        <v>5</v>
      </c>
      <c r="U81" s="43">
        <v>5</v>
      </c>
      <c r="V81" s="117">
        <v>5</v>
      </c>
      <c r="W81" s="117">
        <v>3</v>
      </c>
      <c r="X81" s="117">
        <v>4</v>
      </c>
      <c r="Y81" s="117">
        <v>5</v>
      </c>
      <c r="Z81" s="115">
        <f>SUM(N81:Y81)</f>
        <v>42</v>
      </c>
      <c r="AA81" s="118">
        <f t="shared" si="3"/>
        <v>-2.3255813953488413E-2</v>
      </c>
      <c r="AB81" s="1212"/>
      <c r="AC81" s="1212"/>
      <c r="AD81" s="1212"/>
      <c r="AE81" s="1212"/>
      <c r="AF81" s="43">
        <v>4</v>
      </c>
      <c r="AG81" s="43">
        <v>5</v>
      </c>
      <c r="AH81" s="43">
        <v>2</v>
      </c>
      <c r="AI81" s="43"/>
      <c r="AJ81" s="43">
        <v>2</v>
      </c>
      <c r="AK81" s="43">
        <v>2</v>
      </c>
      <c r="AL81" s="43">
        <v>5</v>
      </c>
      <c r="AM81" s="43">
        <v>5</v>
      </c>
      <c r="AN81" s="117">
        <v>5</v>
      </c>
      <c r="AO81" s="117">
        <v>10</v>
      </c>
      <c r="AP81" s="117">
        <v>5</v>
      </c>
      <c r="AQ81" s="117">
        <v>3</v>
      </c>
      <c r="AR81" s="115">
        <f>SUM(AF81:AQ81)</f>
        <v>48</v>
      </c>
      <c r="AS81" s="118">
        <f t="shared" si="4"/>
        <v>0.14285714285714279</v>
      </c>
      <c r="AT81" s="1212"/>
      <c r="AU81" s="1212"/>
      <c r="AV81" s="1212"/>
      <c r="AW81" s="1212"/>
      <c r="AX81" s="43">
        <v>10</v>
      </c>
      <c r="AY81" s="43">
        <v>15</v>
      </c>
      <c r="AZ81" s="43">
        <v>8</v>
      </c>
      <c r="BA81" s="43">
        <v>8</v>
      </c>
      <c r="BB81" s="43">
        <v>0</v>
      </c>
      <c r="BC81" s="43">
        <v>0</v>
      </c>
      <c r="BD81" s="43">
        <v>6</v>
      </c>
      <c r="BE81" s="43">
        <v>2</v>
      </c>
      <c r="BF81" s="117">
        <v>4</v>
      </c>
      <c r="BG81" s="117"/>
      <c r="BH81" s="117"/>
      <c r="BI81" s="117"/>
      <c r="BJ81" s="115">
        <f>SUM(AX81:BI81)</f>
        <v>53</v>
      </c>
      <c r="BK81" s="118">
        <f t="shared" si="5"/>
        <v>0.10416666666666674</v>
      </c>
      <c r="BL81" s="1212"/>
      <c r="BM81" s="1212"/>
      <c r="BN81" s="1212"/>
      <c r="BO81" s="1212"/>
    </row>
    <row r="82" spans="1:67" ht="42.75" customHeight="1" x14ac:dyDescent="0.3">
      <c r="B82" s="29"/>
      <c r="C82" s="30"/>
      <c r="D82" s="30"/>
      <c r="G82" s="1227"/>
      <c r="H82" s="114" t="s">
        <v>435</v>
      </c>
      <c r="I82" s="52">
        <v>65</v>
      </c>
      <c r="J82" s="115">
        <v>31</v>
      </c>
      <c r="K82" s="115">
        <v>36</v>
      </c>
      <c r="L82" s="116">
        <f t="shared" si="1"/>
        <v>3</v>
      </c>
      <c r="M82" s="117">
        <f t="shared" si="2"/>
        <v>0.72</v>
      </c>
      <c r="N82" s="43">
        <v>1</v>
      </c>
      <c r="O82" s="43"/>
      <c r="P82" s="43">
        <v>3</v>
      </c>
      <c r="Q82" s="43">
        <v>2</v>
      </c>
      <c r="R82" s="43">
        <v>2</v>
      </c>
      <c r="S82" s="43">
        <v>4</v>
      </c>
      <c r="T82" s="43">
        <v>4</v>
      </c>
      <c r="U82" s="43">
        <v>0</v>
      </c>
      <c r="V82" s="117">
        <v>4</v>
      </c>
      <c r="W82" s="117">
        <v>5</v>
      </c>
      <c r="X82" s="117">
        <v>5</v>
      </c>
      <c r="Y82" s="117">
        <v>5</v>
      </c>
      <c r="Z82" s="115">
        <f>SUM(N82:Y82)</f>
        <v>35</v>
      </c>
      <c r="AA82" s="118">
        <f t="shared" si="3"/>
        <v>-2.777777777777779E-2</v>
      </c>
      <c r="AB82" s="1212"/>
      <c r="AC82" s="1212"/>
      <c r="AD82" s="1212"/>
      <c r="AE82" s="1212"/>
      <c r="AF82" s="43">
        <v>1</v>
      </c>
      <c r="AG82" s="43">
        <v>2</v>
      </c>
      <c r="AH82" s="43">
        <v>3</v>
      </c>
      <c r="AI82" s="43">
        <v>2</v>
      </c>
      <c r="AJ82" s="43">
        <v>2</v>
      </c>
      <c r="AK82" s="43">
        <v>3</v>
      </c>
      <c r="AL82" s="43">
        <v>4</v>
      </c>
      <c r="AM82" s="43">
        <v>2</v>
      </c>
      <c r="AN82" s="117">
        <v>4</v>
      </c>
      <c r="AO82" s="117">
        <v>5</v>
      </c>
      <c r="AP82" s="117">
        <v>2</v>
      </c>
      <c r="AQ82" s="117">
        <v>2</v>
      </c>
      <c r="AR82" s="115">
        <f>SUM(AF82:AQ82)</f>
        <v>32</v>
      </c>
      <c r="AS82" s="118">
        <f t="shared" si="4"/>
        <v>-8.5714285714285743E-2</v>
      </c>
      <c r="AT82" s="1212"/>
      <c r="AU82" s="1212"/>
      <c r="AV82" s="1212"/>
      <c r="AW82" s="1212"/>
      <c r="AX82" s="43">
        <v>10</v>
      </c>
      <c r="AY82" s="43">
        <v>5</v>
      </c>
      <c r="AZ82" s="43">
        <v>4</v>
      </c>
      <c r="BA82" s="43">
        <v>5</v>
      </c>
      <c r="BB82" s="43">
        <v>0</v>
      </c>
      <c r="BC82" s="43">
        <v>0</v>
      </c>
      <c r="BD82" s="43">
        <v>4</v>
      </c>
      <c r="BE82" s="43">
        <v>0</v>
      </c>
      <c r="BF82" s="117">
        <v>4</v>
      </c>
      <c r="BG82" s="117"/>
      <c r="BH82" s="117"/>
      <c r="BI82" s="117"/>
      <c r="BJ82" s="115">
        <f>SUM(AX82:BI82)</f>
        <v>32</v>
      </c>
      <c r="BK82" s="118">
        <f t="shared" si="5"/>
        <v>0</v>
      </c>
      <c r="BL82" s="1212"/>
      <c r="BM82" s="1212"/>
      <c r="BN82" s="1212"/>
      <c r="BO82" s="1212"/>
    </row>
    <row r="83" spans="1:67" ht="42.75" customHeight="1" x14ac:dyDescent="0.3">
      <c r="B83" s="29"/>
      <c r="C83" s="30"/>
      <c r="D83" s="30"/>
      <c r="G83" s="1227"/>
      <c r="H83" s="114" t="s">
        <v>81</v>
      </c>
      <c r="I83" s="119">
        <v>205</v>
      </c>
      <c r="J83" s="119">
        <v>79</v>
      </c>
      <c r="K83" s="119">
        <v>79</v>
      </c>
      <c r="L83" s="120">
        <f t="shared" si="1"/>
        <v>6.583333333333333</v>
      </c>
      <c r="M83" s="120">
        <f t="shared" si="2"/>
        <v>1.58</v>
      </c>
      <c r="N83" s="119">
        <f t="shared" ref="N83:Z83" si="21">SUM(N81:N82)</f>
        <v>5</v>
      </c>
      <c r="O83" s="119">
        <f t="shared" si="21"/>
        <v>5</v>
      </c>
      <c r="P83" s="119">
        <f t="shared" si="21"/>
        <v>5</v>
      </c>
      <c r="Q83" s="119">
        <f t="shared" si="21"/>
        <v>2</v>
      </c>
      <c r="R83" s="119">
        <f t="shared" si="21"/>
        <v>4</v>
      </c>
      <c r="S83" s="119">
        <f t="shared" si="21"/>
        <v>6</v>
      </c>
      <c r="T83" s="119">
        <f t="shared" si="21"/>
        <v>9</v>
      </c>
      <c r="U83" s="119">
        <f t="shared" si="21"/>
        <v>5</v>
      </c>
      <c r="V83" s="119">
        <f t="shared" si="21"/>
        <v>9</v>
      </c>
      <c r="W83" s="119">
        <f t="shared" si="21"/>
        <v>8</v>
      </c>
      <c r="X83" s="119">
        <f t="shared" si="21"/>
        <v>9</v>
      </c>
      <c r="Y83" s="119">
        <f t="shared" si="21"/>
        <v>10</v>
      </c>
      <c r="Z83" s="119">
        <f t="shared" si="21"/>
        <v>77</v>
      </c>
      <c r="AA83" s="121">
        <f t="shared" si="3"/>
        <v>-2.5316455696202556E-2</v>
      </c>
      <c r="AB83" s="1212"/>
      <c r="AC83" s="1212"/>
      <c r="AD83" s="1212"/>
      <c r="AE83" s="1212"/>
      <c r="AF83" s="119">
        <f t="shared" ref="AF83:AR83" si="22">SUM(AF81:AF82)</f>
        <v>5</v>
      </c>
      <c r="AG83" s="119">
        <f t="shared" si="22"/>
        <v>7</v>
      </c>
      <c r="AH83" s="119">
        <f t="shared" si="22"/>
        <v>5</v>
      </c>
      <c r="AI83" s="119">
        <f t="shared" si="22"/>
        <v>2</v>
      </c>
      <c r="AJ83" s="119">
        <f t="shared" si="22"/>
        <v>4</v>
      </c>
      <c r="AK83" s="119">
        <f t="shared" si="22"/>
        <v>5</v>
      </c>
      <c r="AL83" s="119">
        <f t="shared" si="22"/>
        <v>9</v>
      </c>
      <c r="AM83" s="119">
        <f t="shared" si="22"/>
        <v>7</v>
      </c>
      <c r="AN83" s="119">
        <f t="shared" si="22"/>
        <v>9</v>
      </c>
      <c r="AO83" s="119">
        <f t="shared" si="22"/>
        <v>15</v>
      </c>
      <c r="AP83" s="119">
        <f t="shared" si="22"/>
        <v>7</v>
      </c>
      <c r="AQ83" s="119">
        <f t="shared" si="22"/>
        <v>5</v>
      </c>
      <c r="AR83" s="119">
        <f t="shared" si="22"/>
        <v>80</v>
      </c>
      <c r="AS83" s="121">
        <f t="shared" si="4"/>
        <v>3.8961038961038863E-2</v>
      </c>
      <c r="AT83" s="1212"/>
      <c r="AU83" s="1212"/>
      <c r="AV83" s="1212"/>
      <c r="AW83" s="1212"/>
      <c r="AX83" s="119">
        <f t="shared" ref="AX83:BJ83" si="23">SUM(AX81:AX82)</f>
        <v>20</v>
      </c>
      <c r="AY83" s="119">
        <f t="shared" si="23"/>
        <v>20</v>
      </c>
      <c r="AZ83" s="119">
        <f t="shared" si="23"/>
        <v>12</v>
      </c>
      <c r="BA83" s="119">
        <f t="shared" si="23"/>
        <v>13</v>
      </c>
      <c r="BB83" s="119">
        <f t="shared" si="23"/>
        <v>0</v>
      </c>
      <c r="BC83" s="119">
        <f t="shared" si="23"/>
        <v>0</v>
      </c>
      <c r="BD83" s="119">
        <f t="shared" si="23"/>
        <v>10</v>
      </c>
      <c r="BE83" s="119">
        <f t="shared" si="23"/>
        <v>2</v>
      </c>
      <c r="BF83" s="119">
        <f t="shared" si="23"/>
        <v>8</v>
      </c>
      <c r="BG83" s="119">
        <f t="shared" si="23"/>
        <v>0</v>
      </c>
      <c r="BH83" s="119">
        <f t="shared" si="23"/>
        <v>0</v>
      </c>
      <c r="BI83" s="119">
        <f t="shared" si="23"/>
        <v>0</v>
      </c>
      <c r="BJ83" s="119">
        <f t="shared" si="23"/>
        <v>85</v>
      </c>
      <c r="BK83" s="121">
        <f t="shared" si="5"/>
        <v>6.25E-2</v>
      </c>
      <c r="BL83" s="1212"/>
      <c r="BM83" s="1212"/>
      <c r="BN83" s="1212"/>
      <c r="BO83" s="1212"/>
    </row>
    <row r="84" spans="1:67" ht="42.75" customHeight="1" x14ac:dyDescent="0.3">
      <c r="B84" s="29"/>
      <c r="C84" s="30"/>
      <c r="D84" s="30"/>
      <c r="G84" s="1227" t="s">
        <v>440</v>
      </c>
      <c r="H84" s="114" t="s">
        <v>434</v>
      </c>
      <c r="I84" s="52">
        <v>147</v>
      </c>
      <c r="J84" s="115">
        <v>50</v>
      </c>
      <c r="K84" s="115">
        <v>60</v>
      </c>
      <c r="L84" s="116">
        <f t="shared" si="1"/>
        <v>5</v>
      </c>
      <c r="M84" s="117">
        <f t="shared" si="2"/>
        <v>1.2</v>
      </c>
      <c r="N84" s="43">
        <v>5</v>
      </c>
      <c r="O84" s="43">
        <v>0</v>
      </c>
      <c r="P84" s="43">
        <v>0</v>
      </c>
      <c r="Q84" s="43">
        <v>0</v>
      </c>
      <c r="R84" s="43">
        <v>3</v>
      </c>
      <c r="S84" s="43">
        <v>0</v>
      </c>
      <c r="T84" s="43">
        <v>0</v>
      </c>
      <c r="U84" s="43">
        <v>5</v>
      </c>
      <c r="V84" s="117">
        <v>7</v>
      </c>
      <c r="W84" s="117">
        <v>9</v>
      </c>
      <c r="X84" s="43">
        <v>9</v>
      </c>
      <c r="Y84" s="43">
        <v>9</v>
      </c>
      <c r="Z84" s="115">
        <f>SUM(N84:Y84)</f>
        <v>47</v>
      </c>
      <c r="AA84" s="118">
        <f t="shared" si="3"/>
        <v>-0.21666666666666667</v>
      </c>
      <c r="AB84" s="1212"/>
      <c r="AC84" s="1212"/>
      <c r="AD84" s="1212"/>
      <c r="AE84" s="1212"/>
      <c r="AF84" s="43">
        <v>3</v>
      </c>
      <c r="AG84" s="43">
        <v>4</v>
      </c>
      <c r="AH84" s="43">
        <v>5</v>
      </c>
      <c r="AI84" s="43">
        <v>4</v>
      </c>
      <c r="AJ84" s="43">
        <v>4</v>
      </c>
      <c r="AK84" s="43">
        <v>5</v>
      </c>
      <c r="AL84" s="43">
        <v>4</v>
      </c>
      <c r="AM84" s="43">
        <v>5</v>
      </c>
      <c r="AN84" s="117">
        <v>6</v>
      </c>
      <c r="AO84" s="117">
        <v>3</v>
      </c>
      <c r="AP84" s="43">
        <v>2</v>
      </c>
      <c r="AQ84" s="43">
        <v>1</v>
      </c>
      <c r="AR84" s="115">
        <f>SUM(AF84:AQ84)</f>
        <v>46</v>
      </c>
      <c r="AS84" s="118">
        <f t="shared" si="4"/>
        <v>-2.1276595744680882E-2</v>
      </c>
      <c r="AT84" s="1212"/>
      <c r="AU84" s="1212"/>
      <c r="AV84" s="1212"/>
      <c r="AW84" s="1212"/>
      <c r="AX84" s="43">
        <v>3</v>
      </c>
      <c r="AY84" s="43">
        <v>3</v>
      </c>
      <c r="AZ84" s="43">
        <v>3</v>
      </c>
      <c r="BA84" s="43">
        <v>3</v>
      </c>
      <c r="BB84" s="43">
        <v>3</v>
      </c>
      <c r="BC84" s="43">
        <v>3</v>
      </c>
      <c r="BD84" s="43">
        <v>3</v>
      </c>
      <c r="BE84" s="43">
        <v>3</v>
      </c>
      <c r="BF84" s="117">
        <v>3</v>
      </c>
      <c r="BG84" s="117"/>
      <c r="BH84" s="43"/>
      <c r="BI84" s="43"/>
      <c r="BJ84" s="115">
        <f>SUM(AX84:BI84)</f>
        <v>27</v>
      </c>
      <c r="BK84" s="118">
        <f t="shared" si="5"/>
        <v>-0.41304347826086951</v>
      </c>
      <c r="BL84" s="1212"/>
      <c r="BM84" s="1212"/>
      <c r="BN84" s="1212"/>
      <c r="BO84" s="1212"/>
    </row>
    <row r="85" spans="1:67" ht="42.75" customHeight="1" x14ac:dyDescent="0.3">
      <c r="B85" s="29"/>
      <c r="C85" s="30"/>
      <c r="D85" s="30"/>
      <c r="G85" s="1227"/>
      <c r="H85" s="114" t="s">
        <v>435</v>
      </c>
      <c r="I85" s="52">
        <v>70.2</v>
      </c>
      <c r="J85" s="115">
        <v>45</v>
      </c>
      <c r="K85" s="115">
        <v>34</v>
      </c>
      <c r="L85" s="116">
        <f t="shared" si="1"/>
        <v>2.8333333333333335</v>
      </c>
      <c r="M85" s="117">
        <f t="shared" si="2"/>
        <v>0.68</v>
      </c>
      <c r="N85" s="43">
        <v>0</v>
      </c>
      <c r="O85" s="43">
        <v>0</v>
      </c>
      <c r="P85" s="43">
        <v>0</v>
      </c>
      <c r="Q85" s="43">
        <v>0</v>
      </c>
      <c r="R85" s="43">
        <v>2</v>
      </c>
      <c r="S85" s="43">
        <v>0</v>
      </c>
      <c r="T85" s="43">
        <v>0</v>
      </c>
      <c r="U85" s="43">
        <v>1</v>
      </c>
      <c r="V85" s="117">
        <v>2</v>
      </c>
      <c r="W85" s="117">
        <v>9</v>
      </c>
      <c r="X85" s="43">
        <v>9</v>
      </c>
      <c r="Y85" s="43">
        <v>9</v>
      </c>
      <c r="Z85" s="115">
        <f>SUM(N85:Y85)</f>
        <v>32</v>
      </c>
      <c r="AA85" s="118">
        <f t="shared" si="3"/>
        <v>-5.8823529411764719E-2</v>
      </c>
      <c r="AB85" s="1212"/>
      <c r="AC85" s="1212"/>
      <c r="AD85" s="1212"/>
      <c r="AE85" s="1212"/>
      <c r="AF85" s="43">
        <v>4</v>
      </c>
      <c r="AG85" s="43">
        <v>3</v>
      </c>
      <c r="AH85" s="43">
        <v>4</v>
      </c>
      <c r="AI85" s="43">
        <v>2</v>
      </c>
      <c r="AJ85" s="43">
        <v>2</v>
      </c>
      <c r="AK85" s="43">
        <v>4</v>
      </c>
      <c r="AL85" s="43">
        <v>2</v>
      </c>
      <c r="AM85" s="43">
        <v>2</v>
      </c>
      <c r="AN85" s="117">
        <v>2</v>
      </c>
      <c r="AO85" s="117">
        <v>2</v>
      </c>
      <c r="AP85" s="43">
        <v>2</v>
      </c>
      <c r="AQ85" s="43">
        <v>1</v>
      </c>
      <c r="AR85" s="115">
        <f>SUM(AF85:AQ85)</f>
        <v>30</v>
      </c>
      <c r="AS85" s="118">
        <f t="shared" si="4"/>
        <v>-6.25E-2</v>
      </c>
      <c r="AT85" s="1212"/>
      <c r="AU85" s="1212"/>
      <c r="AV85" s="1212"/>
      <c r="AW85" s="1212"/>
      <c r="AX85" s="43">
        <v>1</v>
      </c>
      <c r="AY85" s="43">
        <v>1</v>
      </c>
      <c r="AZ85" s="43">
        <v>1</v>
      </c>
      <c r="BA85" s="43">
        <v>1</v>
      </c>
      <c r="BB85" s="43">
        <v>1</v>
      </c>
      <c r="BC85" s="43">
        <v>1</v>
      </c>
      <c r="BD85" s="43">
        <v>1</v>
      </c>
      <c r="BE85" s="43">
        <v>1</v>
      </c>
      <c r="BF85" s="117">
        <v>1</v>
      </c>
      <c r="BG85" s="117"/>
      <c r="BH85" s="43"/>
      <c r="BI85" s="43"/>
      <c r="BJ85" s="115">
        <f>SUM(AX85:BI85)</f>
        <v>9</v>
      </c>
      <c r="BK85" s="118">
        <f t="shared" si="5"/>
        <v>-0.7</v>
      </c>
      <c r="BL85" s="1212"/>
      <c r="BM85" s="1212"/>
      <c r="BN85" s="1212"/>
      <c r="BO85" s="1212"/>
    </row>
    <row r="86" spans="1:67" ht="42.75" customHeight="1" x14ac:dyDescent="0.3">
      <c r="B86" s="29"/>
      <c r="C86" s="30"/>
      <c r="D86" s="30"/>
      <c r="G86" s="1227"/>
      <c r="H86" s="114" t="s">
        <v>81</v>
      </c>
      <c r="I86" s="119">
        <v>217.2</v>
      </c>
      <c r="J86" s="119">
        <v>95</v>
      </c>
      <c r="K86" s="119">
        <v>94</v>
      </c>
      <c r="L86" s="120">
        <f t="shared" si="1"/>
        <v>7.833333333333333</v>
      </c>
      <c r="M86" s="120">
        <f t="shared" si="2"/>
        <v>1.8800000000000001</v>
      </c>
      <c r="N86" s="119">
        <f t="shared" ref="N86:Z86" si="24">SUM(N84:N85)</f>
        <v>5</v>
      </c>
      <c r="O86" s="119">
        <f t="shared" si="24"/>
        <v>0</v>
      </c>
      <c r="P86" s="119">
        <f t="shared" si="24"/>
        <v>0</v>
      </c>
      <c r="Q86" s="119">
        <f t="shared" si="24"/>
        <v>0</v>
      </c>
      <c r="R86" s="119">
        <f t="shared" si="24"/>
        <v>5</v>
      </c>
      <c r="S86" s="119">
        <f t="shared" si="24"/>
        <v>0</v>
      </c>
      <c r="T86" s="119">
        <f t="shared" si="24"/>
        <v>0</v>
      </c>
      <c r="U86" s="119">
        <f t="shared" si="24"/>
        <v>6</v>
      </c>
      <c r="V86" s="119">
        <f t="shared" si="24"/>
        <v>9</v>
      </c>
      <c r="W86" s="119">
        <f t="shared" si="24"/>
        <v>18</v>
      </c>
      <c r="X86" s="119">
        <f t="shared" si="24"/>
        <v>18</v>
      </c>
      <c r="Y86" s="119">
        <f t="shared" si="24"/>
        <v>18</v>
      </c>
      <c r="Z86" s="119">
        <f t="shared" si="24"/>
        <v>79</v>
      </c>
      <c r="AA86" s="121">
        <f t="shared" si="3"/>
        <v>-0.15957446808510634</v>
      </c>
      <c r="AB86" s="1212"/>
      <c r="AC86" s="1212"/>
      <c r="AD86" s="1212"/>
      <c r="AE86" s="1212"/>
      <c r="AF86" s="119">
        <f t="shared" ref="AF86:AR86" si="25">SUM(AF84:AF85)</f>
        <v>7</v>
      </c>
      <c r="AG86" s="119">
        <f t="shared" si="25"/>
        <v>7</v>
      </c>
      <c r="AH86" s="119">
        <f t="shared" si="25"/>
        <v>9</v>
      </c>
      <c r="AI86" s="119">
        <f t="shared" si="25"/>
        <v>6</v>
      </c>
      <c r="AJ86" s="119">
        <f t="shared" si="25"/>
        <v>6</v>
      </c>
      <c r="AK86" s="119">
        <f t="shared" si="25"/>
        <v>9</v>
      </c>
      <c r="AL86" s="119">
        <f t="shared" si="25"/>
        <v>6</v>
      </c>
      <c r="AM86" s="119">
        <f t="shared" si="25"/>
        <v>7</v>
      </c>
      <c r="AN86" s="119">
        <f t="shared" si="25"/>
        <v>8</v>
      </c>
      <c r="AO86" s="119">
        <f t="shared" si="25"/>
        <v>5</v>
      </c>
      <c r="AP86" s="119">
        <f t="shared" si="25"/>
        <v>4</v>
      </c>
      <c r="AQ86" s="119">
        <f t="shared" si="25"/>
        <v>2</v>
      </c>
      <c r="AR86" s="119">
        <f t="shared" si="25"/>
        <v>76</v>
      </c>
      <c r="AS86" s="121">
        <f t="shared" si="4"/>
        <v>-3.7974683544303778E-2</v>
      </c>
      <c r="AT86" s="1212"/>
      <c r="AU86" s="1212"/>
      <c r="AV86" s="1212"/>
      <c r="AW86" s="1212"/>
      <c r="AX86" s="119">
        <f t="shared" ref="AX86:BJ86" si="26">SUM(AX84:AX85)</f>
        <v>4</v>
      </c>
      <c r="AY86" s="119">
        <f t="shared" si="26"/>
        <v>4</v>
      </c>
      <c r="AZ86" s="119">
        <f t="shared" si="26"/>
        <v>4</v>
      </c>
      <c r="BA86" s="119">
        <f t="shared" si="26"/>
        <v>4</v>
      </c>
      <c r="BB86" s="119">
        <f t="shared" si="26"/>
        <v>4</v>
      </c>
      <c r="BC86" s="119">
        <f t="shared" si="26"/>
        <v>4</v>
      </c>
      <c r="BD86" s="119">
        <f t="shared" si="26"/>
        <v>4</v>
      </c>
      <c r="BE86" s="119">
        <f t="shared" si="26"/>
        <v>4</v>
      </c>
      <c r="BF86" s="119">
        <f t="shared" si="26"/>
        <v>4</v>
      </c>
      <c r="BG86" s="119">
        <f t="shared" si="26"/>
        <v>0</v>
      </c>
      <c r="BH86" s="119">
        <f t="shared" si="26"/>
        <v>0</v>
      </c>
      <c r="BI86" s="119">
        <f t="shared" si="26"/>
        <v>0</v>
      </c>
      <c r="BJ86" s="119">
        <f t="shared" si="26"/>
        <v>36</v>
      </c>
      <c r="BK86" s="121">
        <f t="shared" si="5"/>
        <v>-0.52631578947368429</v>
      </c>
      <c r="BL86" s="1212"/>
      <c r="BM86" s="1212"/>
      <c r="BN86" s="1212"/>
      <c r="BO86" s="1212"/>
    </row>
    <row r="87" spans="1:67" ht="42.75" customHeight="1" x14ac:dyDescent="0.3">
      <c r="B87" s="29"/>
      <c r="C87" s="30"/>
      <c r="D87" s="30"/>
      <c r="G87" s="1227" t="s">
        <v>81</v>
      </c>
      <c r="H87" s="114" t="s">
        <v>434</v>
      </c>
      <c r="I87" s="52">
        <v>550</v>
      </c>
      <c r="J87" s="115">
        <v>308</v>
      </c>
      <c r="K87" s="115">
        <v>264</v>
      </c>
      <c r="L87" s="116">
        <f t="shared" si="1"/>
        <v>22</v>
      </c>
      <c r="M87" s="117">
        <f t="shared" si="2"/>
        <v>5.28</v>
      </c>
      <c r="N87" s="43">
        <f t="shared" ref="N87:Y87" si="27">+N66+N69+N72+N75+N78+N81+N84</f>
        <v>20</v>
      </c>
      <c r="O87" s="43">
        <f t="shared" si="27"/>
        <v>13</v>
      </c>
      <c r="P87" s="43">
        <f t="shared" si="27"/>
        <v>9</v>
      </c>
      <c r="Q87" s="43">
        <f t="shared" si="27"/>
        <v>22</v>
      </c>
      <c r="R87" s="43">
        <f t="shared" si="27"/>
        <v>9</v>
      </c>
      <c r="S87" s="43">
        <f t="shared" si="27"/>
        <v>19</v>
      </c>
      <c r="T87" s="43">
        <f t="shared" si="27"/>
        <v>11</v>
      </c>
      <c r="U87" s="43">
        <f t="shared" si="27"/>
        <v>24</v>
      </c>
      <c r="V87" s="43">
        <f t="shared" si="27"/>
        <v>21.5</v>
      </c>
      <c r="W87" s="43">
        <f t="shared" si="27"/>
        <v>36</v>
      </c>
      <c r="X87" s="43">
        <f t="shared" si="27"/>
        <v>28</v>
      </c>
      <c r="Y87" s="43">
        <f t="shared" si="27"/>
        <v>31</v>
      </c>
      <c r="Z87" s="115">
        <f>SUM(N87:Y87)</f>
        <v>243.5</v>
      </c>
      <c r="AA87" s="118">
        <f t="shared" si="3"/>
        <v>-7.7651515151515138E-2</v>
      </c>
      <c r="AB87" s="1212"/>
      <c r="AC87" s="1212"/>
      <c r="AD87" s="1212"/>
      <c r="AE87" s="1212"/>
      <c r="AF87" s="43">
        <f t="shared" ref="AF87:AQ87" si="28">+AF66+AF69+AF72+AF75+AF78+AF81+AF84</f>
        <v>16</v>
      </c>
      <c r="AG87" s="43">
        <f t="shared" si="28"/>
        <v>24</v>
      </c>
      <c r="AH87" s="43">
        <f t="shared" si="28"/>
        <v>16</v>
      </c>
      <c r="AI87" s="43">
        <f t="shared" si="28"/>
        <v>13</v>
      </c>
      <c r="AJ87" s="43">
        <f t="shared" si="28"/>
        <v>23</v>
      </c>
      <c r="AK87" s="43">
        <f t="shared" si="28"/>
        <v>17</v>
      </c>
      <c r="AL87" s="43">
        <f t="shared" si="28"/>
        <v>19</v>
      </c>
      <c r="AM87" s="43">
        <f t="shared" si="28"/>
        <v>26</v>
      </c>
      <c r="AN87" s="43">
        <f t="shared" si="28"/>
        <v>22</v>
      </c>
      <c r="AO87" s="43">
        <f t="shared" si="28"/>
        <v>16</v>
      </c>
      <c r="AP87" s="43">
        <f t="shared" si="28"/>
        <v>11</v>
      </c>
      <c r="AQ87" s="43">
        <f t="shared" si="28"/>
        <v>7</v>
      </c>
      <c r="AR87" s="115">
        <f>SUM(AF87:AQ87)</f>
        <v>210</v>
      </c>
      <c r="AS87" s="118">
        <f t="shared" si="4"/>
        <v>-0.13757700205338808</v>
      </c>
      <c r="AT87" s="1212"/>
      <c r="AU87" s="1212"/>
      <c r="AV87" s="1212"/>
      <c r="AW87" s="1212"/>
      <c r="AX87" s="43">
        <f t="shared" ref="AX87:BI87" si="29">+AX66+AX69+AX72+AX75+AX78+AX81+AX84</f>
        <v>45</v>
      </c>
      <c r="AY87" s="43">
        <f t="shared" si="29"/>
        <v>36</v>
      </c>
      <c r="AZ87" s="43">
        <f t="shared" si="29"/>
        <v>36</v>
      </c>
      <c r="BA87" s="43">
        <f t="shared" si="29"/>
        <v>58</v>
      </c>
      <c r="BB87" s="43">
        <f t="shared" si="29"/>
        <v>29</v>
      </c>
      <c r="BC87" s="43">
        <f t="shared" si="29"/>
        <v>15</v>
      </c>
      <c r="BD87" s="43">
        <f t="shared" si="29"/>
        <v>50</v>
      </c>
      <c r="BE87" s="43">
        <f t="shared" si="29"/>
        <v>23</v>
      </c>
      <c r="BF87" s="43">
        <f t="shared" si="29"/>
        <v>13</v>
      </c>
      <c r="BG87" s="43">
        <f t="shared" si="29"/>
        <v>0</v>
      </c>
      <c r="BH87" s="43">
        <f t="shared" si="29"/>
        <v>0</v>
      </c>
      <c r="BI87" s="43">
        <f t="shared" si="29"/>
        <v>0</v>
      </c>
      <c r="BJ87" s="115">
        <f>SUM(AX87:BI87)</f>
        <v>305</v>
      </c>
      <c r="BK87" s="118">
        <f t="shared" si="5"/>
        <v>0.45238095238095233</v>
      </c>
      <c r="BL87" s="1212"/>
      <c r="BM87" s="1212"/>
      <c r="BN87" s="1212"/>
      <c r="BO87" s="1212"/>
    </row>
    <row r="88" spans="1:67" ht="42.75" customHeight="1" x14ac:dyDescent="0.3">
      <c r="B88" s="29"/>
      <c r="C88" s="30"/>
      <c r="D88" s="30"/>
      <c r="G88" s="1227"/>
      <c r="H88" s="114" t="s">
        <v>435</v>
      </c>
      <c r="I88" s="52">
        <v>260</v>
      </c>
      <c r="J88" s="115">
        <v>143</v>
      </c>
      <c r="K88" s="115">
        <v>134</v>
      </c>
      <c r="L88" s="116">
        <f t="shared" si="1"/>
        <v>11.166666666666666</v>
      </c>
      <c r="M88" s="117">
        <f t="shared" si="2"/>
        <v>2.68</v>
      </c>
      <c r="N88" s="43">
        <f t="shared" ref="N88:Y88" si="30">+N67+N70+N73+N76+N79+N82+N85</f>
        <v>2</v>
      </c>
      <c r="O88" s="43">
        <f t="shared" si="30"/>
        <v>1</v>
      </c>
      <c r="P88" s="43">
        <f t="shared" si="30"/>
        <v>9</v>
      </c>
      <c r="Q88" s="43">
        <f t="shared" si="30"/>
        <v>5</v>
      </c>
      <c r="R88" s="43">
        <f t="shared" si="30"/>
        <v>6</v>
      </c>
      <c r="S88" s="43">
        <f t="shared" si="30"/>
        <v>8</v>
      </c>
      <c r="T88" s="43">
        <f t="shared" si="30"/>
        <v>5</v>
      </c>
      <c r="U88" s="43">
        <f t="shared" si="30"/>
        <v>1</v>
      </c>
      <c r="V88" s="43">
        <f t="shared" si="30"/>
        <v>11</v>
      </c>
      <c r="W88" s="43">
        <f t="shared" si="30"/>
        <v>28</v>
      </c>
      <c r="X88" s="43">
        <f t="shared" si="30"/>
        <v>23</v>
      </c>
      <c r="Y88" s="43">
        <f t="shared" si="30"/>
        <v>27</v>
      </c>
      <c r="Z88" s="115">
        <f>SUM(N88:Y88)</f>
        <v>126</v>
      </c>
      <c r="AA88" s="118">
        <f t="shared" si="3"/>
        <v>-5.9701492537313383E-2</v>
      </c>
      <c r="AB88" s="1212"/>
      <c r="AC88" s="1212"/>
      <c r="AD88" s="1212"/>
      <c r="AE88" s="1212"/>
      <c r="AF88" s="43">
        <f t="shared" ref="AF88:AQ88" si="31">+AF67+AF70+AF73+AF76+AF79+AF82+AF85</f>
        <v>7</v>
      </c>
      <c r="AG88" s="43">
        <f t="shared" si="31"/>
        <v>10</v>
      </c>
      <c r="AH88" s="43">
        <f t="shared" si="31"/>
        <v>13</v>
      </c>
      <c r="AI88" s="43">
        <f t="shared" si="31"/>
        <v>6</v>
      </c>
      <c r="AJ88" s="43">
        <f t="shared" si="31"/>
        <v>11</v>
      </c>
      <c r="AK88" s="43">
        <f t="shared" si="31"/>
        <v>13</v>
      </c>
      <c r="AL88" s="43">
        <f t="shared" si="31"/>
        <v>9</v>
      </c>
      <c r="AM88" s="43">
        <f t="shared" si="31"/>
        <v>9</v>
      </c>
      <c r="AN88" s="43">
        <f t="shared" si="31"/>
        <v>12</v>
      </c>
      <c r="AO88" s="43">
        <f t="shared" si="31"/>
        <v>10</v>
      </c>
      <c r="AP88" s="43">
        <f t="shared" si="31"/>
        <v>7</v>
      </c>
      <c r="AQ88" s="43">
        <f t="shared" si="31"/>
        <v>6</v>
      </c>
      <c r="AR88" s="115">
        <f>SUM(AF88:AQ88)</f>
        <v>113</v>
      </c>
      <c r="AS88" s="118">
        <f t="shared" si="4"/>
        <v>-0.10317460317460314</v>
      </c>
      <c r="AT88" s="1212"/>
      <c r="AU88" s="1212"/>
      <c r="AV88" s="1212"/>
      <c r="AW88" s="1212"/>
      <c r="AX88" s="43">
        <f t="shared" ref="AX88:BI88" si="32">+AX67+AX70+AX73+AX76+AX79+AX82+AX85</f>
        <v>23</v>
      </c>
      <c r="AY88" s="43">
        <f t="shared" si="32"/>
        <v>17</v>
      </c>
      <c r="AZ88" s="43">
        <f t="shared" si="32"/>
        <v>15</v>
      </c>
      <c r="BA88" s="43">
        <f t="shared" si="32"/>
        <v>53</v>
      </c>
      <c r="BB88" s="43">
        <f t="shared" si="32"/>
        <v>22</v>
      </c>
      <c r="BC88" s="43">
        <f t="shared" si="32"/>
        <v>7</v>
      </c>
      <c r="BD88" s="43">
        <f t="shared" si="32"/>
        <v>30</v>
      </c>
      <c r="BE88" s="43">
        <f t="shared" si="32"/>
        <v>9</v>
      </c>
      <c r="BF88" s="43">
        <f t="shared" si="32"/>
        <v>7</v>
      </c>
      <c r="BG88" s="43">
        <f t="shared" si="32"/>
        <v>0</v>
      </c>
      <c r="BH88" s="43">
        <f t="shared" si="32"/>
        <v>0</v>
      </c>
      <c r="BI88" s="43">
        <f t="shared" si="32"/>
        <v>0</v>
      </c>
      <c r="BJ88" s="115">
        <f>SUM(AX88:BI88)</f>
        <v>183</v>
      </c>
      <c r="BK88" s="118">
        <f t="shared" si="5"/>
        <v>0.61946902654867264</v>
      </c>
      <c r="BL88" s="1212"/>
      <c r="BM88" s="1212"/>
      <c r="BN88" s="1212"/>
      <c r="BO88" s="1212"/>
    </row>
    <row r="89" spans="1:67" ht="42.75" customHeight="1" x14ac:dyDescent="0.3">
      <c r="B89" s="29"/>
      <c r="C89" s="30"/>
      <c r="D89" s="30"/>
      <c r="G89" s="1227"/>
      <c r="H89" s="114" t="s">
        <v>81</v>
      </c>
      <c r="I89" s="119">
        <v>810</v>
      </c>
      <c r="J89" s="119">
        <v>451</v>
      </c>
      <c r="K89" s="119">
        <v>398</v>
      </c>
      <c r="L89" s="120">
        <f t="shared" si="1"/>
        <v>33.166666666666664</v>
      </c>
      <c r="M89" s="120">
        <f t="shared" si="2"/>
        <v>7.96</v>
      </c>
      <c r="N89" s="119">
        <f t="shared" ref="N89:Y89" si="33">+N68+N71+N74+N77+N80+N83+N86</f>
        <v>22</v>
      </c>
      <c r="O89" s="119">
        <f t="shared" si="33"/>
        <v>14</v>
      </c>
      <c r="P89" s="119">
        <f t="shared" si="33"/>
        <v>18</v>
      </c>
      <c r="Q89" s="119">
        <f t="shared" si="33"/>
        <v>27</v>
      </c>
      <c r="R89" s="119">
        <f t="shared" si="33"/>
        <v>15</v>
      </c>
      <c r="S89" s="119">
        <f t="shared" si="33"/>
        <v>27</v>
      </c>
      <c r="T89" s="119">
        <f t="shared" si="33"/>
        <v>16</v>
      </c>
      <c r="U89" s="119">
        <f t="shared" si="33"/>
        <v>25</v>
      </c>
      <c r="V89" s="119">
        <f t="shared" si="33"/>
        <v>32.5</v>
      </c>
      <c r="W89" s="119">
        <f t="shared" si="33"/>
        <v>64</v>
      </c>
      <c r="X89" s="119">
        <f t="shared" si="33"/>
        <v>51</v>
      </c>
      <c r="Y89" s="119">
        <f t="shared" si="33"/>
        <v>58</v>
      </c>
      <c r="Z89" s="252">
        <f>+Z68+Z71+Z74+Z77+Z80+Z83+Z86</f>
        <v>369.5</v>
      </c>
      <c r="AA89" s="121">
        <f t="shared" si="3"/>
        <v>-7.1608040201004974E-2</v>
      </c>
      <c r="AB89" s="1212"/>
      <c r="AC89" s="1212"/>
      <c r="AD89" s="1212"/>
      <c r="AE89" s="1212"/>
      <c r="AF89" s="119">
        <f t="shared" ref="AF89:AQ89" si="34">+AF68+AF71+AF74+AF77+AF80+AF83+AF86</f>
        <v>23</v>
      </c>
      <c r="AG89" s="119">
        <f t="shared" si="34"/>
        <v>34</v>
      </c>
      <c r="AH89" s="119">
        <f t="shared" si="34"/>
        <v>29</v>
      </c>
      <c r="AI89" s="119">
        <f t="shared" si="34"/>
        <v>19</v>
      </c>
      <c r="AJ89" s="119">
        <f t="shared" si="34"/>
        <v>34</v>
      </c>
      <c r="AK89" s="119">
        <f t="shared" si="34"/>
        <v>30</v>
      </c>
      <c r="AL89" s="119">
        <f t="shared" si="34"/>
        <v>28</v>
      </c>
      <c r="AM89" s="119">
        <f t="shared" si="34"/>
        <v>35</v>
      </c>
      <c r="AN89" s="119">
        <f t="shared" si="34"/>
        <v>34</v>
      </c>
      <c r="AO89" s="119">
        <f t="shared" si="34"/>
        <v>26</v>
      </c>
      <c r="AP89" s="119">
        <f t="shared" si="34"/>
        <v>18</v>
      </c>
      <c r="AQ89" s="119">
        <f t="shared" si="34"/>
        <v>13</v>
      </c>
      <c r="AR89" s="119">
        <f>+AR68+AR71+AR74+AR77+AR80+AR83+AR86</f>
        <v>323</v>
      </c>
      <c r="AS89" s="121">
        <f t="shared" si="4"/>
        <v>-0.12584573748308525</v>
      </c>
      <c r="AT89" s="1212"/>
      <c r="AU89" s="1212"/>
      <c r="AV89" s="1212"/>
      <c r="AW89" s="1212"/>
      <c r="AX89" s="119">
        <f t="shared" ref="AX89:BI89" si="35">+AX68+AX71+AX74+AX77+AX80+AX83+AX86</f>
        <v>68</v>
      </c>
      <c r="AY89" s="119">
        <f t="shared" si="35"/>
        <v>53</v>
      </c>
      <c r="AZ89" s="119">
        <f t="shared" si="35"/>
        <v>51</v>
      </c>
      <c r="BA89" s="119">
        <f t="shared" si="35"/>
        <v>111</v>
      </c>
      <c r="BB89" s="119">
        <f t="shared" si="35"/>
        <v>51</v>
      </c>
      <c r="BC89" s="119">
        <f t="shared" si="35"/>
        <v>22</v>
      </c>
      <c r="BD89" s="119">
        <f t="shared" si="35"/>
        <v>80</v>
      </c>
      <c r="BE89" s="119">
        <f t="shared" si="35"/>
        <v>32</v>
      </c>
      <c r="BF89" s="119">
        <f t="shared" si="35"/>
        <v>20</v>
      </c>
      <c r="BG89" s="119">
        <f t="shared" si="35"/>
        <v>0</v>
      </c>
      <c r="BH89" s="119">
        <f t="shared" si="35"/>
        <v>0</v>
      </c>
      <c r="BI89" s="119">
        <f t="shared" si="35"/>
        <v>0</v>
      </c>
      <c r="BJ89" s="119">
        <f>+BJ68+BJ71+BJ74+BJ77+BJ80+BJ83+BJ86</f>
        <v>488</v>
      </c>
      <c r="BK89" s="121">
        <f t="shared" si="5"/>
        <v>0.5108359133126934</v>
      </c>
      <c r="BL89" s="1212"/>
      <c r="BM89" s="1212"/>
      <c r="BN89" s="1212"/>
      <c r="BO89" s="1212"/>
    </row>
    <row r="90" spans="1:67" ht="42.75" customHeight="1" x14ac:dyDescent="0.3">
      <c r="B90" s="29"/>
      <c r="C90" s="30"/>
      <c r="D90" s="30"/>
      <c r="G90" s="36"/>
      <c r="H90" s="216"/>
      <c r="I90" s="216"/>
      <c r="J90" s="216"/>
      <c r="K90" s="217"/>
      <c r="L90" s="217"/>
      <c r="M90" s="217"/>
      <c r="N90" s="217"/>
    </row>
    <row r="91" spans="1:67" ht="15" x14ac:dyDescent="0.3">
      <c r="B91" s="29"/>
      <c r="C91" s="30"/>
      <c r="D91" s="30"/>
      <c r="G91" s="36"/>
      <c r="H91" s="216"/>
      <c r="I91" s="216"/>
      <c r="J91" s="216"/>
      <c r="K91" s="217"/>
      <c r="L91" s="217"/>
      <c r="M91" s="217"/>
      <c r="N91" s="217"/>
    </row>
    <row r="92" spans="1:67" ht="46.5" customHeight="1" x14ac:dyDescent="0.25">
      <c r="A92" s="1154" t="str">
        <f>+D15</f>
        <v>PORCENTAJE (%) DE DISMINUCIÓN DE CONSUMO DE AGUA.</v>
      </c>
      <c r="B92" s="1155"/>
      <c r="C92" s="1155"/>
      <c r="D92" s="1155"/>
      <c r="E92" s="1155"/>
      <c r="F92" s="1155"/>
      <c r="G92" s="1155"/>
      <c r="H92" s="1155"/>
      <c r="I92" s="1155"/>
      <c r="J92" s="1155"/>
      <c r="K92" s="1155"/>
      <c r="L92" s="1155"/>
      <c r="M92" s="1155"/>
      <c r="N92" s="1155"/>
      <c r="O92" s="1155"/>
      <c r="P92" s="1155"/>
      <c r="Q92" s="1155"/>
      <c r="R92" s="1155"/>
      <c r="S92" s="1155"/>
      <c r="T92" s="1155"/>
      <c r="U92" s="1155"/>
      <c r="V92" s="1155"/>
      <c r="W92" s="1155"/>
      <c r="X92" s="1155"/>
      <c r="Y92" s="1155"/>
      <c r="Z92" s="1155"/>
      <c r="AA92" s="1155"/>
      <c r="AB92" s="1155"/>
      <c r="AC92" s="1155"/>
      <c r="AD92" s="1155"/>
      <c r="AE92" s="1156"/>
    </row>
    <row r="93" spans="1:67" x14ac:dyDescent="0.25">
      <c r="A93" s="5"/>
    </row>
    <row r="94" spans="1:67" ht="23" x14ac:dyDescent="0.45">
      <c r="A94" s="26"/>
      <c r="G94" s="31">
        <v>2012</v>
      </c>
      <c r="H94" s="31">
        <v>2013</v>
      </c>
      <c r="I94" s="31">
        <v>2014</v>
      </c>
      <c r="J94" s="31">
        <v>2015</v>
      </c>
      <c r="K94" s="31">
        <v>2016</v>
      </c>
    </row>
    <row r="95" spans="1:67" ht="22.5" customHeight="1" x14ac:dyDescent="0.45">
      <c r="A95" s="866" t="s">
        <v>441</v>
      </c>
      <c r="B95" s="867"/>
      <c r="C95" s="867"/>
      <c r="D95" s="867"/>
      <c r="E95" s="867"/>
      <c r="F95" s="867"/>
      <c r="G95" s="32">
        <v>0.57999999999999996</v>
      </c>
      <c r="H95" s="32">
        <v>-0.34</v>
      </c>
      <c r="I95" s="32">
        <f>+Z108</f>
        <v>0.72428571428571442</v>
      </c>
      <c r="J95" s="32">
        <f>+AS108</f>
        <v>0.71499585749792871</v>
      </c>
      <c r="K95" s="32">
        <f>+BL108</f>
        <v>-0.40338164251207731</v>
      </c>
    </row>
    <row r="96" spans="1:67" ht="23" x14ac:dyDescent="0.45">
      <c r="A96" s="866" t="s">
        <v>76</v>
      </c>
      <c r="B96" s="867"/>
      <c r="C96" s="867"/>
      <c r="D96" s="867"/>
      <c r="E96" s="867"/>
      <c r="F96" s="867"/>
      <c r="G96" s="32">
        <v>-0.01</v>
      </c>
      <c r="H96" s="32">
        <v>-0.01</v>
      </c>
      <c r="I96" s="32">
        <v>-0.01</v>
      </c>
      <c r="J96" s="32">
        <v>-0.01</v>
      </c>
      <c r="K96" s="32">
        <v>-0.01</v>
      </c>
    </row>
    <row r="97" spans="1:69" x14ac:dyDescent="0.25">
      <c r="A97" s="5"/>
    </row>
    <row r="98" spans="1:69" ht="19.5" customHeight="1" x14ac:dyDescent="0.25">
      <c r="A98" s="5"/>
      <c r="B98" s="28"/>
      <c r="C98" s="28"/>
      <c r="D98" s="28"/>
      <c r="G98" s="1147" t="s">
        <v>78</v>
      </c>
      <c r="H98" s="1225"/>
      <c r="I98" s="1225"/>
      <c r="J98" s="1225"/>
      <c r="K98" s="1225"/>
      <c r="L98" s="1225"/>
      <c r="M98" s="1225"/>
      <c r="N98" s="1225"/>
      <c r="O98" s="1225"/>
      <c r="P98" s="1225"/>
      <c r="Q98" s="1225"/>
      <c r="R98" s="1225"/>
      <c r="S98" s="1225"/>
      <c r="T98" s="1225"/>
      <c r="U98" s="1225"/>
      <c r="V98" s="1225"/>
      <c r="W98" s="1225"/>
      <c r="X98" s="1225"/>
      <c r="Y98" s="1225"/>
      <c r="Z98" s="1225"/>
      <c r="AA98" s="1225"/>
      <c r="AB98" s="1225"/>
      <c r="AC98" s="1225"/>
      <c r="AD98" s="1225"/>
      <c r="AE98" s="1225"/>
      <c r="AF98" s="1225"/>
      <c r="AG98" s="1225"/>
      <c r="AH98" s="1225"/>
      <c r="AI98" s="1225"/>
      <c r="AJ98" s="1225"/>
      <c r="AK98" s="1225"/>
      <c r="AL98" s="1225"/>
      <c r="AM98" s="1225"/>
      <c r="AN98" s="1225"/>
      <c r="AO98" s="1225"/>
      <c r="AP98" s="1225"/>
      <c r="AQ98" s="1225"/>
      <c r="AR98" s="1225"/>
      <c r="AS98" s="1225"/>
      <c r="AT98" s="1225"/>
      <c r="AU98" s="1225"/>
      <c r="AV98" s="1225"/>
      <c r="AW98" s="1225"/>
      <c r="AX98" s="1225"/>
      <c r="AY98" s="1225"/>
      <c r="AZ98" s="1225"/>
      <c r="BA98" s="1225"/>
      <c r="BB98" s="1225"/>
      <c r="BC98" s="1225"/>
      <c r="BD98" s="1225"/>
      <c r="BE98" s="1225"/>
      <c r="BF98" s="1225"/>
      <c r="BG98" s="1225"/>
      <c r="BH98" s="1225"/>
      <c r="BI98" s="1225"/>
      <c r="BJ98" s="1225"/>
      <c r="BK98" s="1225"/>
      <c r="BL98" s="1225"/>
      <c r="BM98" s="1225"/>
      <c r="BN98" s="1225"/>
      <c r="BO98" s="1225"/>
      <c r="BP98" s="1225"/>
      <c r="BQ98" s="1225"/>
    </row>
    <row r="99" spans="1:69" ht="17.5" x14ac:dyDescent="0.25">
      <c r="A99" s="5"/>
      <c r="G99" s="1222" t="s">
        <v>442</v>
      </c>
      <c r="H99" s="1223" t="s">
        <v>417</v>
      </c>
      <c r="I99" s="1224"/>
      <c r="J99" s="1224"/>
      <c r="K99" s="1224"/>
      <c r="L99" s="1224"/>
      <c r="M99" s="1224"/>
      <c r="N99" s="1224"/>
      <c r="O99" s="1224"/>
      <c r="P99" s="1224"/>
      <c r="Q99" s="1224"/>
      <c r="R99" s="1224"/>
      <c r="S99" s="1224"/>
      <c r="T99" s="1224"/>
      <c r="U99" s="1224"/>
      <c r="V99" s="1224"/>
      <c r="W99" s="1224"/>
      <c r="X99" s="1224"/>
      <c r="Y99" s="1224"/>
      <c r="Z99" s="1224"/>
      <c r="AA99" s="1224"/>
      <c r="AB99" s="1224"/>
      <c r="AC99" s="1224"/>
      <c r="AD99" s="1224"/>
      <c r="AE99" s="1224"/>
      <c r="AF99" s="1224"/>
      <c r="AG99" s="1224"/>
      <c r="AH99" s="1224"/>
      <c r="AI99" s="1224"/>
      <c r="AJ99" s="1224"/>
      <c r="AK99" s="1224"/>
      <c r="AL99" s="1224"/>
      <c r="AM99" s="1224"/>
      <c r="AN99" s="1224"/>
      <c r="AO99" s="1224"/>
      <c r="AP99" s="1224"/>
      <c r="AQ99" s="1224"/>
      <c r="AR99" s="1224"/>
      <c r="AS99" s="1224"/>
      <c r="AT99" s="1224"/>
      <c r="AU99" s="1224"/>
      <c r="AV99" s="1224"/>
      <c r="AW99" s="1224"/>
      <c r="AX99" s="1224"/>
      <c r="AY99" s="1224"/>
      <c r="AZ99" s="1224"/>
      <c r="BA99" s="1224"/>
      <c r="BB99" s="1224"/>
      <c r="BC99" s="1224"/>
      <c r="BD99" s="1224"/>
      <c r="BE99" s="1224"/>
      <c r="BF99" s="1224"/>
      <c r="BG99" s="1224"/>
      <c r="BH99" s="1224"/>
      <c r="BI99" s="1224"/>
      <c r="BJ99" s="1224"/>
      <c r="BK99" s="1224"/>
      <c r="BL99" s="1224"/>
      <c r="BM99" s="1224"/>
      <c r="BN99" s="1224"/>
      <c r="BO99" s="1224"/>
      <c r="BP99" s="1224"/>
      <c r="BQ99" s="1224"/>
    </row>
    <row r="100" spans="1:69" ht="19.5" customHeight="1" x14ac:dyDescent="0.3">
      <c r="B100" s="29"/>
      <c r="C100" s="30"/>
      <c r="D100" s="30"/>
      <c r="G100" s="1222"/>
      <c r="H100" s="1222">
        <v>2011</v>
      </c>
      <c r="I100" s="1222">
        <v>2012</v>
      </c>
      <c r="J100" s="1222">
        <v>2013</v>
      </c>
      <c r="K100" s="1222"/>
      <c r="L100" s="1222"/>
      <c r="M100" s="1222">
        <v>2014</v>
      </c>
      <c r="N100" s="1222"/>
      <c r="O100" s="1222"/>
      <c r="P100" s="1222"/>
      <c r="Q100" s="1222"/>
      <c r="R100" s="1222"/>
      <c r="S100" s="1222"/>
      <c r="T100" s="1222"/>
      <c r="U100" s="1222"/>
      <c r="V100" s="1222"/>
      <c r="W100" s="1222"/>
      <c r="X100" s="1222"/>
      <c r="Y100" s="1222"/>
      <c r="Z100" s="1222" t="s">
        <v>418</v>
      </c>
      <c r="AA100" s="1165" t="s">
        <v>79</v>
      </c>
      <c r="AB100" s="1165"/>
      <c r="AC100" s="1165"/>
      <c r="AD100" s="1165"/>
      <c r="AE100" s="1165"/>
      <c r="AF100" s="1222">
        <v>2015</v>
      </c>
      <c r="AG100" s="1222"/>
      <c r="AH100" s="1222"/>
      <c r="AI100" s="1222"/>
      <c r="AJ100" s="1222"/>
      <c r="AK100" s="1222"/>
      <c r="AL100" s="1222"/>
      <c r="AM100" s="1222"/>
      <c r="AN100" s="1222"/>
      <c r="AO100" s="1222"/>
      <c r="AP100" s="1222"/>
      <c r="AQ100" s="1222"/>
      <c r="AR100" s="1222"/>
      <c r="AS100" s="1222" t="s">
        <v>733</v>
      </c>
      <c r="AT100" s="1165" t="s">
        <v>79</v>
      </c>
      <c r="AU100" s="1165"/>
      <c r="AV100" s="1165"/>
      <c r="AW100" s="1165"/>
      <c r="AX100" s="1165"/>
      <c r="AY100" s="1222">
        <v>2016</v>
      </c>
      <c r="AZ100" s="1222"/>
      <c r="BA100" s="1222"/>
      <c r="BB100" s="1222"/>
      <c r="BC100" s="1222"/>
      <c r="BD100" s="1222"/>
      <c r="BE100" s="1222"/>
      <c r="BF100" s="1222"/>
      <c r="BG100" s="1222"/>
      <c r="BH100" s="1222"/>
      <c r="BI100" s="1222"/>
      <c r="BJ100" s="1222"/>
      <c r="BK100" s="1222"/>
      <c r="BL100" s="1222" t="s">
        <v>870</v>
      </c>
      <c r="BM100" s="1165" t="s">
        <v>79</v>
      </c>
      <c r="BN100" s="1165"/>
      <c r="BO100" s="1165"/>
      <c r="BP100" s="1165"/>
      <c r="BQ100" s="1165"/>
    </row>
    <row r="101" spans="1:69" ht="19.5" customHeight="1" x14ac:dyDescent="0.3">
      <c r="B101" s="29"/>
      <c r="C101" s="30"/>
      <c r="D101" s="30"/>
      <c r="G101" s="1222"/>
      <c r="H101" s="1222"/>
      <c r="I101" s="1222"/>
      <c r="J101" s="1222" t="s">
        <v>419</v>
      </c>
      <c r="K101" s="1222" t="s">
        <v>420</v>
      </c>
      <c r="L101" s="1222" t="s">
        <v>185</v>
      </c>
      <c r="M101" s="1222" t="s">
        <v>86</v>
      </c>
      <c r="N101" s="1222"/>
      <c r="O101" s="1222"/>
      <c r="P101" s="1222"/>
      <c r="Q101" s="1222"/>
      <c r="R101" s="1222"/>
      <c r="S101" s="1222"/>
      <c r="T101" s="1222"/>
      <c r="U101" s="1222"/>
      <c r="V101" s="1222"/>
      <c r="W101" s="1222"/>
      <c r="X101" s="1222"/>
      <c r="Y101" s="1222"/>
      <c r="Z101" s="1222"/>
      <c r="AA101" s="1165"/>
      <c r="AB101" s="1165"/>
      <c r="AC101" s="1165"/>
      <c r="AD101" s="1165"/>
      <c r="AE101" s="1165"/>
      <c r="AF101" s="1222" t="s">
        <v>86</v>
      </c>
      <c r="AG101" s="1222"/>
      <c r="AH101" s="1222"/>
      <c r="AI101" s="1222"/>
      <c r="AJ101" s="1222"/>
      <c r="AK101" s="1222"/>
      <c r="AL101" s="1222"/>
      <c r="AM101" s="1222"/>
      <c r="AN101" s="1222"/>
      <c r="AO101" s="1222"/>
      <c r="AP101" s="1222"/>
      <c r="AQ101" s="1222"/>
      <c r="AR101" s="1222"/>
      <c r="AS101" s="1222"/>
      <c r="AT101" s="1165"/>
      <c r="AU101" s="1165"/>
      <c r="AV101" s="1165"/>
      <c r="AW101" s="1165"/>
      <c r="AX101" s="1165"/>
      <c r="AY101" s="1222" t="s">
        <v>86</v>
      </c>
      <c r="AZ101" s="1222"/>
      <c r="BA101" s="1222"/>
      <c r="BB101" s="1222"/>
      <c r="BC101" s="1222"/>
      <c r="BD101" s="1222"/>
      <c r="BE101" s="1222"/>
      <c r="BF101" s="1222"/>
      <c r="BG101" s="1222"/>
      <c r="BH101" s="1222"/>
      <c r="BI101" s="1222"/>
      <c r="BJ101" s="1222"/>
      <c r="BK101" s="1222"/>
      <c r="BL101" s="1222"/>
      <c r="BM101" s="1165"/>
      <c r="BN101" s="1165"/>
      <c r="BO101" s="1165"/>
      <c r="BP101" s="1165"/>
      <c r="BQ101" s="1165"/>
    </row>
    <row r="102" spans="1:69" ht="17.5" x14ac:dyDescent="0.3">
      <c r="B102" s="29"/>
      <c r="C102" s="30"/>
      <c r="D102" s="30"/>
      <c r="G102" s="1222"/>
      <c r="H102" s="1222"/>
      <c r="I102" s="1222"/>
      <c r="J102" s="1222"/>
      <c r="K102" s="1222"/>
      <c r="L102" s="1222"/>
      <c r="M102" s="295" t="s">
        <v>421</v>
      </c>
      <c r="N102" s="295" t="s">
        <v>422</v>
      </c>
      <c r="O102" s="295" t="s">
        <v>423</v>
      </c>
      <c r="P102" s="295" t="s">
        <v>424</v>
      </c>
      <c r="Q102" s="295" t="s">
        <v>425</v>
      </c>
      <c r="R102" s="295" t="s">
        <v>426</v>
      </c>
      <c r="S102" s="295" t="s">
        <v>427</v>
      </c>
      <c r="T102" s="295" t="s">
        <v>428</v>
      </c>
      <c r="U102" s="295" t="s">
        <v>429</v>
      </c>
      <c r="V102" s="295" t="s">
        <v>430</v>
      </c>
      <c r="W102" s="295" t="s">
        <v>431</v>
      </c>
      <c r="X102" s="295" t="s">
        <v>432</v>
      </c>
      <c r="Y102" s="295" t="s">
        <v>81</v>
      </c>
      <c r="Z102" s="1222"/>
      <c r="AA102" s="1165"/>
      <c r="AB102" s="1165"/>
      <c r="AC102" s="1165"/>
      <c r="AD102" s="1165"/>
      <c r="AE102" s="1165"/>
      <c r="AF102" s="295" t="s">
        <v>421</v>
      </c>
      <c r="AG102" s="295" t="s">
        <v>422</v>
      </c>
      <c r="AH102" s="295" t="s">
        <v>423</v>
      </c>
      <c r="AI102" s="295" t="s">
        <v>424</v>
      </c>
      <c r="AJ102" s="295" t="s">
        <v>425</v>
      </c>
      <c r="AK102" s="295" t="s">
        <v>426</v>
      </c>
      <c r="AL102" s="295" t="s">
        <v>427</v>
      </c>
      <c r="AM102" s="295" t="s">
        <v>428</v>
      </c>
      <c r="AN102" s="295" t="s">
        <v>429</v>
      </c>
      <c r="AO102" s="295" t="s">
        <v>430</v>
      </c>
      <c r="AP102" s="295" t="s">
        <v>431</v>
      </c>
      <c r="AQ102" s="295" t="s">
        <v>432</v>
      </c>
      <c r="AR102" s="295" t="s">
        <v>81</v>
      </c>
      <c r="AS102" s="1222"/>
      <c r="AT102" s="1165"/>
      <c r="AU102" s="1165"/>
      <c r="AV102" s="1165"/>
      <c r="AW102" s="1165"/>
      <c r="AX102" s="1165"/>
      <c r="AY102" s="295" t="s">
        <v>421</v>
      </c>
      <c r="AZ102" s="295" t="s">
        <v>422</v>
      </c>
      <c r="BA102" s="295" t="s">
        <v>423</v>
      </c>
      <c r="BB102" s="295" t="s">
        <v>424</v>
      </c>
      <c r="BC102" s="295" t="s">
        <v>425</v>
      </c>
      <c r="BD102" s="295" t="s">
        <v>426</v>
      </c>
      <c r="BE102" s="295" t="s">
        <v>427</v>
      </c>
      <c r="BF102" s="295" t="s">
        <v>428</v>
      </c>
      <c r="BG102" s="295" t="s">
        <v>429</v>
      </c>
      <c r="BH102" s="295" t="s">
        <v>430</v>
      </c>
      <c r="BI102" s="295" t="s">
        <v>431</v>
      </c>
      <c r="BJ102" s="295" t="s">
        <v>432</v>
      </c>
      <c r="BK102" s="295" t="s">
        <v>81</v>
      </c>
      <c r="BL102" s="1222"/>
      <c r="BM102" s="1165"/>
      <c r="BN102" s="1165"/>
      <c r="BO102" s="1165"/>
      <c r="BP102" s="1165"/>
      <c r="BQ102" s="1165"/>
    </row>
    <row r="103" spans="1:69" ht="64.5" customHeight="1" x14ac:dyDescent="0.3">
      <c r="B103" s="29"/>
      <c r="C103" s="30"/>
      <c r="D103" s="30"/>
      <c r="G103" s="122" t="s">
        <v>443</v>
      </c>
      <c r="H103" s="123">
        <v>39.07</v>
      </c>
      <c r="I103" s="124">
        <v>63.97</v>
      </c>
      <c r="J103" s="124">
        <v>31</v>
      </c>
      <c r="K103" s="125">
        <f t="shared" ref="K103:K108" si="36">+J103/12</f>
        <v>2.5833333333333335</v>
      </c>
      <c r="L103" s="126">
        <f t="shared" ref="L103:L108" si="37">+J103*0.01</f>
        <v>0.31</v>
      </c>
      <c r="M103" s="75">
        <v>2</v>
      </c>
      <c r="N103" s="75">
        <v>1.9</v>
      </c>
      <c r="O103" s="75">
        <v>5</v>
      </c>
      <c r="P103" s="75">
        <v>1.9</v>
      </c>
      <c r="Q103" s="75">
        <v>5</v>
      </c>
      <c r="R103" s="75">
        <v>5</v>
      </c>
      <c r="S103" s="75">
        <v>5</v>
      </c>
      <c r="T103" s="75">
        <v>7</v>
      </c>
      <c r="U103" s="75">
        <v>7</v>
      </c>
      <c r="V103" s="75">
        <v>6</v>
      </c>
      <c r="W103" s="75">
        <v>6</v>
      </c>
      <c r="X103" s="75">
        <v>6</v>
      </c>
      <c r="Y103" s="77">
        <f>SUM(M103:X103)</f>
        <v>57.8</v>
      </c>
      <c r="Z103" s="127">
        <f t="shared" ref="Z103:Z108" si="38">+(Y103/J103)-1</f>
        <v>0.86451612903225805</v>
      </c>
      <c r="AA103" s="996" t="s">
        <v>772</v>
      </c>
      <c r="AB103" s="996"/>
      <c r="AC103" s="996"/>
      <c r="AD103" s="996"/>
      <c r="AE103" s="996"/>
      <c r="AF103" s="75">
        <v>23</v>
      </c>
      <c r="AG103" s="75">
        <v>20</v>
      </c>
      <c r="AH103" s="75">
        <v>18</v>
      </c>
      <c r="AI103" s="75">
        <v>20</v>
      </c>
      <c r="AJ103" s="75">
        <v>22</v>
      </c>
      <c r="AK103" s="75">
        <v>25</v>
      </c>
      <c r="AL103" s="75">
        <v>19</v>
      </c>
      <c r="AM103" s="75">
        <v>6</v>
      </c>
      <c r="AN103" s="75">
        <v>16</v>
      </c>
      <c r="AO103" s="75">
        <v>23</v>
      </c>
      <c r="AP103" s="75">
        <v>23</v>
      </c>
      <c r="AQ103" s="75">
        <v>23</v>
      </c>
      <c r="AR103" s="77">
        <f>SUM(AF103:AQ103)</f>
        <v>238</v>
      </c>
      <c r="AS103" s="127">
        <f t="shared" ref="AS103:AS108" si="39">+(AR103/Y103)-1</f>
        <v>3.1176470588235299</v>
      </c>
      <c r="AT103" s="1213" t="s">
        <v>773</v>
      </c>
      <c r="AU103" s="1214"/>
      <c r="AV103" s="1214"/>
      <c r="AW103" s="1214"/>
      <c r="AX103" s="1215"/>
      <c r="AY103" s="75">
        <v>22</v>
      </c>
      <c r="AZ103" s="75">
        <v>17</v>
      </c>
      <c r="BA103" s="75">
        <v>8</v>
      </c>
      <c r="BB103" s="75">
        <v>12</v>
      </c>
      <c r="BC103" s="75">
        <v>12</v>
      </c>
      <c r="BD103" s="75">
        <v>6</v>
      </c>
      <c r="BE103" s="75">
        <v>5</v>
      </c>
      <c r="BF103" s="75">
        <v>6</v>
      </c>
      <c r="BG103" s="75">
        <v>5</v>
      </c>
      <c r="BH103" s="75"/>
      <c r="BI103" s="75"/>
      <c r="BJ103" s="75"/>
      <c r="BK103" s="77">
        <f>SUM(AY103:BJ103)</f>
        <v>93</v>
      </c>
      <c r="BL103" s="127">
        <f t="shared" ref="BL103:BL108" si="40">+(BK103/AR103)-1</f>
        <v>-0.60924369747899165</v>
      </c>
      <c r="BM103" s="1213" t="s">
        <v>869</v>
      </c>
      <c r="BN103" s="1214"/>
      <c r="BO103" s="1214"/>
      <c r="BP103" s="1214"/>
      <c r="BQ103" s="1215"/>
    </row>
    <row r="104" spans="1:69" ht="60" customHeight="1" x14ac:dyDescent="0.25">
      <c r="G104" s="122" t="s">
        <v>444</v>
      </c>
      <c r="H104" s="123">
        <v>13.02</v>
      </c>
      <c r="I104" s="124">
        <v>44.04</v>
      </c>
      <c r="J104" s="124">
        <v>8</v>
      </c>
      <c r="K104" s="125">
        <f t="shared" si="36"/>
        <v>0.66666666666666663</v>
      </c>
      <c r="L104" s="126">
        <f t="shared" si="37"/>
        <v>0.08</v>
      </c>
      <c r="M104" s="75"/>
      <c r="N104" s="75"/>
      <c r="O104" s="75"/>
      <c r="P104" s="75"/>
      <c r="Q104" s="75"/>
      <c r="R104" s="75"/>
      <c r="S104" s="75">
        <v>0</v>
      </c>
      <c r="T104" s="75">
        <v>0</v>
      </c>
      <c r="U104" s="75">
        <v>0</v>
      </c>
      <c r="V104" s="75">
        <v>0</v>
      </c>
      <c r="W104" s="75">
        <v>0</v>
      </c>
      <c r="X104" s="75">
        <v>0</v>
      </c>
      <c r="Y104" s="77">
        <f>SUM(M104:X104)</f>
        <v>0</v>
      </c>
      <c r="Z104" s="127">
        <f t="shared" si="38"/>
        <v>-1</v>
      </c>
      <c r="AA104" s="996"/>
      <c r="AB104" s="996"/>
      <c r="AC104" s="996"/>
      <c r="AD104" s="996"/>
      <c r="AE104" s="996"/>
      <c r="AF104" s="75">
        <v>0</v>
      </c>
      <c r="AG104" s="75">
        <v>0</v>
      </c>
      <c r="AH104" s="75">
        <v>0</v>
      </c>
      <c r="AI104" s="75">
        <v>0</v>
      </c>
      <c r="AJ104" s="75">
        <v>0</v>
      </c>
      <c r="AK104" s="75">
        <v>0</v>
      </c>
      <c r="AL104" s="75">
        <v>0</v>
      </c>
      <c r="AM104" s="75">
        <v>0</v>
      </c>
      <c r="AN104" s="75">
        <v>0</v>
      </c>
      <c r="AO104" s="75">
        <v>0</v>
      </c>
      <c r="AP104" s="75">
        <v>0</v>
      </c>
      <c r="AQ104" s="75">
        <v>0</v>
      </c>
      <c r="AR104" s="77">
        <f>SUM(AF104:AQ104)</f>
        <v>0</v>
      </c>
      <c r="AS104" s="127" t="e">
        <f t="shared" si="39"/>
        <v>#DIV/0!</v>
      </c>
      <c r="AT104" s="1216"/>
      <c r="AU104" s="1217"/>
      <c r="AV104" s="1217"/>
      <c r="AW104" s="1217"/>
      <c r="AX104" s="1218"/>
      <c r="AY104" s="75">
        <v>0</v>
      </c>
      <c r="AZ104" s="75">
        <v>0</v>
      </c>
      <c r="BA104" s="75">
        <v>0</v>
      </c>
      <c r="BB104" s="75">
        <v>0</v>
      </c>
      <c r="BC104" s="75">
        <v>0</v>
      </c>
      <c r="BD104" s="75">
        <v>0</v>
      </c>
      <c r="BE104" s="75">
        <v>0</v>
      </c>
      <c r="BF104" s="75">
        <v>0</v>
      </c>
      <c r="BG104" s="75">
        <v>0</v>
      </c>
      <c r="BH104" s="75"/>
      <c r="BI104" s="75"/>
      <c r="BJ104" s="75"/>
      <c r="BK104" s="77">
        <f>SUM(AY104:BJ104)</f>
        <v>0</v>
      </c>
      <c r="BL104" s="127" t="e">
        <f t="shared" si="40"/>
        <v>#DIV/0!</v>
      </c>
      <c r="BM104" s="1216"/>
      <c r="BN104" s="1217"/>
      <c r="BO104" s="1217"/>
      <c r="BP104" s="1217"/>
      <c r="BQ104" s="1218"/>
    </row>
    <row r="105" spans="1:69" ht="69" customHeight="1" x14ac:dyDescent="0.25">
      <c r="G105" s="122" t="s">
        <v>445</v>
      </c>
      <c r="H105" s="123">
        <v>158.72999999999999</v>
      </c>
      <c r="I105" s="124">
        <v>146.58000000000001</v>
      </c>
      <c r="J105" s="124">
        <v>52</v>
      </c>
      <c r="K105" s="125">
        <f t="shared" si="36"/>
        <v>4.333333333333333</v>
      </c>
      <c r="L105" s="126">
        <f t="shared" si="37"/>
        <v>0.52</v>
      </c>
      <c r="M105" s="75">
        <v>14</v>
      </c>
      <c r="N105" s="75">
        <v>15</v>
      </c>
      <c r="O105" s="75">
        <v>17</v>
      </c>
      <c r="P105" s="75">
        <v>15</v>
      </c>
      <c r="Q105" s="75">
        <v>13</v>
      </c>
      <c r="R105" s="75">
        <v>12</v>
      </c>
      <c r="S105" s="75">
        <v>18</v>
      </c>
      <c r="T105" s="75">
        <v>23</v>
      </c>
      <c r="U105" s="75">
        <v>22</v>
      </c>
      <c r="V105" s="75">
        <v>17</v>
      </c>
      <c r="W105" s="75">
        <v>23</v>
      </c>
      <c r="X105" s="75">
        <v>41</v>
      </c>
      <c r="Y105" s="77">
        <f>SUM(M105:X105)</f>
        <v>230</v>
      </c>
      <c r="Z105" s="127">
        <f t="shared" si="38"/>
        <v>3.4230769230769234</v>
      </c>
      <c r="AA105" s="996"/>
      <c r="AB105" s="996"/>
      <c r="AC105" s="996"/>
      <c r="AD105" s="996"/>
      <c r="AE105" s="996"/>
      <c r="AF105" s="75">
        <v>22</v>
      </c>
      <c r="AG105" s="75">
        <v>24</v>
      </c>
      <c r="AH105" s="75">
        <v>24</v>
      </c>
      <c r="AI105" s="75">
        <v>37</v>
      </c>
      <c r="AJ105" s="75">
        <v>24</v>
      </c>
      <c r="AK105" s="75">
        <v>28</v>
      </c>
      <c r="AL105" s="75">
        <v>33</v>
      </c>
      <c r="AM105" s="75">
        <v>40</v>
      </c>
      <c r="AN105" s="75">
        <v>40</v>
      </c>
      <c r="AO105" s="75">
        <v>29</v>
      </c>
      <c r="AP105" s="75">
        <v>29</v>
      </c>
      <c r="AQ105" s="75">
        <v>15</v>
      </c>
      <c r="AR105" s="77">
        <f>SUM(AF105:AQ105)</f>
        <v>345</v>
      </c>
      <c r="AS105" s="127">
        <f t="shared" si="39"/>
        <v>0.5</v>
      </c>
      <c r="AT105" s="1216"/>
      <c r="AU105" s="1217"/>
      <c r="AV105" s="1217"/>
      <c r="AW105" s="1217"/>
      <c r="AX105" s="1218"/>
      <c r="AY105" s="75">
        <v>23</v>
      </c>
      <c r="AZ105" s="75">
        <v>33</v>
      </c>
      <c r="BA105" s="75">
        <v>9</v>
      </c>
      <c r="BB105" s="75">
        <v>21</v>
      </c>
      <c r="BC105" s="75">
        <v>21</v>
      </c>
      <c r="BD105" s="75">
        <v>15</v>
      </c>
      <c r="BE105" s="75">
        <v>21</v>
      </c>
      <c r="BF105" s="75">
        <v>23</v>
      </c>
      <c r="BG105" s="75">
        <v>18</v>
      </c>
      <c r="BH105" s="75"/>
      <c r="BI105" s="75"/>
      <c r="BJ105" s="75"/>
      <c r="BK105" s="77">
        <f>SUM(AY105:BJ105)</f>
        <v>184</v>
      </c>
      <c r="BL105" s="127">
        <f t="shared" si="40"/>
        <v>-0.46666666666666667</v>
      </c>
      <c r="BM105" s="1216"/>
      <c r="BN105" s="1217"/>
      <c r="BO105" s="1217"/>
      <c r="BP105" s="1217"/>
      <c r="BQ105" s="1218"/>
    </row>
    <row r="106" spans="1:69" ht="51.75" customHeight="1" x14ac:dyDescent="0.25">
      <c r="G106" s="122" t="s">
        <v>446</v>
      </c>
      <c r="H106" s="123"/>
      <c r="I106" s="124">
        <v>70.67</v>
      </c>
      <c r="J106" s="124">
        <v>26</v>
      </c>
      <c r="K106" s="125">
        <f t="shared" si="36"/>
        <v>2.1666666666666665</v>
      </c>
      <c r="L106" s="126">
        <f t="shared" si="37"/>
        <v>0.26</v>
      </c>
      <c r="M106" s="75">
        <v>11</v>
      </c>
      <c r="N106" s="75">
        <v>9</v>
      </c>
      <c r="O106" s="75">
        <v>8</v>
      </c>
      <c r="P106" s="75">
        <v>8</v>
      </c>
      <c r="Q106" s="75">
        <v>6</v>
      </c>
      <c r="R106" s="75">
        <v>7</v>
      </c>
      <c r="S106" s="75">
        <v>8</v>
      </c>
      <c r="T106" s="75">
        <v>8</v>
      </c>
      <c r="U106" s="75">
        <v>6</v>
      </c>
      <c r="V106" s="75">
        <v>8</v>
      </c>
      <c r="W106" s="75">
        <v>7</v>
      </c>
      <c r="X106" s="75">
        <v>11</v>
      </c>
      <c r="Y106" s="77">
        <f>SUM(M106:X106)</f>
        <v>97</v>
      </c>
      <c r="Z106" s="127">
        <f t="shared" si="38"/>
        <v>2.7307692307692308</v>
      </c>
      <c r="AA106" s="996"/>
      <c r="AB106" s="996"/>
      <c r="AC106" s="996"/>
      <c r="AD106" s="996"/>
      <c r="AE106" s="996"/>
      <c r="AF106" s="75">
        <v>16</v>
      </c>
      <c r="AG106" s="75">
        <v>19</v>
      </c>
      <c r="AH106" s="75">
        <v>32</v>
      </c>
      <c r="AI106" s="75">
        <v>20</v>
      </c>
      <c r="AJ106" s="75">
        <v>0</v>
      </c>
      <c r="AK106" s="75">
        <v>0</v>
      </c>
      <c r="AL106" s="75">
        <v>0</v>
      </c>
      <c r="AM106" s="75">
        <v>0</v>
      </c>
      <c r="AN106" s="75">
        <v>0</v>
      </c>
      <c r="AO106" s="75">
        <v>23</v>
      </c>
      <c r="AP106" s="75">
        <v>21</v>
      </c>
      <c r="AQ106" s="75">
        <v>21</v>
      </c>
      <c r="AR106" s="77">
        <f>SUM(AF106:AQ106)</f>
        <v>152</v>
      </c>
      <c r="AS106" s="127">
        <f t="shared" si="39"/>
        <v>0.5670103092783505</v>
      </c>
      <c r="AT106" s="1216"/>
      <c r="AU106" s="1217"/>
      <c r="AV106" s="1217"/>
      <c r="AW106" s="1217"/>
      <c r="AX106" s="1218"/>
      <c r="AY106" s="75">
        <v>21</v>
      </c>
      <c r="AZ106" s="75">
        <v>21</v>
      </c>
      <c r="BA106" s="75">
        <v>21</v>
      </c>
      <c r="BB106" s="75">
        <v>21</v>
      </c>
      <c r="BC106" s="75">
        <v>21</v>
      </c>
      <c r="BD106" s="75">
        <v>21</v>
      </c>
      <c r="BE106" s="75">
        <v>21</v>
      </c>
      <c r="BF106" s="75">
        <v>21</v>
      </c>
      <c r="BG106" s="75">
        <v>21</v>
      </c>
      <c r="BH106" s="75"/>
      <c r="BI106" s="75"/>
      <c r="BJ106" s="75"/>
      <c r="BK106" s="77">
        <f>SUM(AY106:BJ106)</f>
        <v>189</v>
      </c>
      <c r="BL106" s="299">
        <f t="shared" si="40"/>
        <v>0.24342105263157898</v>
      </c>
      <c r="BM106" s="1216"/>
      <c r="BN106" s="1217"/>
      <c r="BO106" s="1217"/>
      <c r="BP106" s="1217"/>
      <c r="BQ106" s="1218"/>
    </row>
    <row r="107" spans="1:69" ht="51.75" customHeight="1" x14ac:dyDescent="0.25">
      <c r="G107" s="122" t="s">
        <v>447</v>
      </c>
      <c r="H107" s="123">
        <v>58.96</v>
      </c>
      <c r="I107" s="124">
        <v>101.26</v>
      </c>
      <c r="J107" s="124">
        <v>163</v>
      </c>
      <c r="K107" s="125">
        <f t="shared" si="36"/>
        <v>13.583333333333334</v>
      </c>
      <c r="L107" s="126">
        <f t="shared" si="37"/>
        <v>1.6300000000000001</v>
      </c>
      <c r="M107" s="75">
        <v>4</v>
      </c>
      <c r="N107" s="75">
        <v>5</v>
      </c>
      <c r="O107" s="75">
        <v>8</v>
      </c>
      <c r="P107" s="75">
        <v>7</v>
      </c>
      <c r="Q107" s="75">
        <v>6</v>
      </c>
      <c r="R107" s="75">
        <v>28</v>
      </c>
      <c r="S107" s="75">
        <v>7</v>
      </c>
      <c r="T107" s="75">
        <v>6</v>
      </c>
      <c r="U107" s="75">
        <v>6</v>
      </c>
      <c r="V107" s="75">
        <v>6</v>
      </c>
      <c r="W107" s="75">
        <v>8</v>
      </c>
      <c r="X107" s="75">
        <v>7</v>
      </c>
      <c r="Y107" s="77">
        <f>SUM(M107:X107)</f>
        <v>98</v>
      </c>
      <c r="Z107" s="127">
        <f t="shared" si="38"/>
        <v>-0.39877300613496935</v>
      </c>
      <c r="AA107" s="996"/>
      <c r="AB107" s="996"/>
      <c r="AC107" s="996"/>
      <c r="AD107" s="996"/>
      <c r="AE107" s="996"/>
      <c r="AF107" s="75">
        <v>5</v>
      </c>
      <c r="AG107" s="75">
        <v>6</v>
      </c>
      <c r="AH107" s="75">
        <v>20</v>
      </c>
      <c r="AI107" s="75">
        <v>7</v>
      </c>
      <c r="AJ107" s="75">
        <v>6</v>
      </c>
      <c r="AK107" s="75">
        <v>6</v>
      </c>
      <c r="AL107" s="75">
        <v>8</v>
      </c>
      <c r="AM107" s="75">
        <v>7</v>
      </c>
      <c r="AN107" s="253">
        <v>6</v>
      </c>
      <c r="AO107" s="75">
        <v>7</v>
      </c>
      <c r="AP107" s="75">
        <v>7</v>
      </c>
      <c r="AQ107" s="75">
        <v>8</v>
      </c>
      <c r="AR107" s="77">
        <f>SUM(AF107:AQ107)</f>
        <v>93</v>
      </c>
      <c r="AS107" s="127">
        <f t="shared" si="39"/>
        <v>-5.1020408163265252E-2</v>
      </c>
      <c r="AT107" s="1216"/>
      <c r="AU107" s="1217"/>
      <c r="AV107" s="1217"/>
      <c r="AW107" s="1217"/>
      <c r="AX107" s="1218"/>
      <c r="AY107" s="75">
        <v>4</v>
      </c>
      <c r="AZ107" s="75">
        <v>4</v>
      </c>
      <c r="BA107" s="75">
        <v>4</v>
      </c>
      <c r="BB107" s="75">
        <v>7</v>
      </c>
      <c r="BC107" s="75">
        <v>4</v>
      </c>
      <c r="BD107" s="75">
        <v>2</v>
      </c>
      <c r="BE107" s="75">
        <v>0</v>
      </c>
      <c r="BF107" s="75">
        <v>0</v>
      </c>
      <c r="BG107" s="253">
        <v>3</v>
      </c>
      <c r="BH107" s="75"/>
      <c r="BI107" s="75"/>
      <c r="BJ107" s="75"/>
      <c r="BK107" s="77">
        <f>SUM(AY107:BJ107)</f>
        <v>28</v>
      </c>
      <c r="BL107" s="127">
        <f t="shared" si="40"/>
        <v>-0.69892473118279574</v>
      </c>
      <c r="BM107" s="1216"/>
      <c r="BN107" s="1217"/>
      <c r="BO107" s="1217"/>
      <c r="BP107" s="1217"/>
      <c r="BQ107" s="1218"/>
    </row>
    <row r="108" spans="1:69" ht="51.75" customHeight="1" x14ac:dyDescent="0.25">
      <c r="G108" s="128" t="s">
        <v>81</v>
      </c>
      <c r="H108" s="77">
        <f>SUM(H103:H107)</f>
        <v>269.77999999999997</v>
      </c>
      <c r="I108" s="77">
        <f>SUM(I103:I107)</f>
        <v>426.52</v>
      </c>
      <c r="J108" s="77">
        <f>SUM(J103:J107)</f>
        <v>280</v>
      </c>
      <c r="K108" s="125">
        <f t="shared" si="36"/>
        <v>23.333333333333332</v>
      </c>
      <c r="L108" s="126">
        <f t="shared" si="37"/>
        <v>2.8000000000000003</v>
      </c>
      <c r="M108" s="77">
        <f t="shared" ref="M108:Y108" si="41">SUM(M103:M107)</f>
        <v>31</v>
      </c>
      <c r="N108" s="77">
        <f t="shared" si="41"/>
        <v>30.9</v>
      </c>
      <c r="O108" s="77">
        <f t="shared" si="41"/>
        <v>38</v>
      </c>
      <c r="P108" s="77">
        <f t="shared" si="41"/>
        <v>31.9</v>
      </c>
      <c r="Q108" s="77">
        <f t="shared" si="41"/>
        <v>30</v>
      </c>
      <c r="R108" s="77">
        <f t="shared" si="41"/>
        <v>52</v>
      </c>
      <c r="S108" s="77">
        <f t="shared" si="41"/>
        <v>38</v>
      </c>
      <c r="T108" s="77">
        <f t="shared" si="41"/>
        <v>44</v>
      </c>
      <c r="U108" s="77">
        <f t="shared" si="41"/>
        <v>41</v>
      </c>
      <c r="V108" s="77">
        <f t="shared" si="41"/>
        <v>37</v>
      </c>
      <c r="W108" s="77">
        <f t="shared" si="41"/>
        <v>44</v>
      </c>
      <c r="X108" s="77">
        <f t="shared" si="41"/>
        <v>65</v>
      </c>
      <c r="Y108" s="77">
        <f t="shared" si="41"/>
        <v>482.8</v>
      </c>
      <c r="Z108" s="127">
        <f t="shared" si="38"/>
        <v>0.72428571428571442</v>
      </c>
      <c r="AA108" s="996"/>
      <c r="AB108" s="996"/>
      <c r="AC108" s="996"/>
      <c r="AD108" s="996"/>
      <c r="AE108" s="996"/>
      <c r="AF108" s="77">
        <f t="shared" ref="AF108:AR108" si="42">SUM(AF103:AF107)</f>
        <v>66</v>
      </c>
      <c r="AG108" s="77">
        <f t="shared" si="42"/>
        <v>69</v>
      </c>
      <c r="AH108" s="77">
        <f t="shared" si="42"/>
        <v>94</v>
      </c>
      <c r="AI108" s="77">
        <f t="shared" si="42"/>
        <v>84</v>
      </c>
      <c r="AJ108" s="77">
        <f t="shared" si="42"/>
        <v>52</v>
      </c>
      <c r="AK108" s="77">
        <f t="shared" si="42"/>
        <v>59</v>
      </c>
      <c r="AL108" s="77">
        <f t="shared" si="42"/>
        <v>60</v>
      </c>
      <c r="AM108" s="77">
        <f t="shared" si="42"/>
        <v>53</v>
      </c>
      <c r="AN108" s="77">
        <f t="shared" si="42"/>
        <v>62</v>
      </c>
      <c r="AO108" s="77">
        <f t="shared" si="42"/>
        <v>82</v>
      </c>
      <c r="AP108" s="77">
        <f t="shared" si="42"/>
        <v>80</v>
      </c>
      <c r="AQ108" s="77">
        <f t="shared" si="42"/>
        <v>67</v>
      </c>
      <c r="AR108" s="77">
        <f t="shared" si="42"/>
        <v>828</v>
      </c>
      <c r="AS108" s="127">
        <f t="shared" si="39"/>
        <v>0.71499585749792871</v>
      </c>
      <c r="AT108" s="1219"/>
      <c r="AU108" s="1220"/>
      <c r="AV108" s="1220"/>
      <c r="AW108" s="1220"/>
      <c r="AX108" s="1221"/>
      <c r="AY108" s="77">
        <f t="shared" ref="AY108:BK108" si="43">SUM(AY103:AY107)</f>
        <v>70</v>
      </c>
      <c r="AZ108" s="77">
        <f t="shared" si="43"/>
        <v>75</v>
      </c>
      <c r="BA108" s="77">
        <f t="shared" si="43"/>
        <v>42</v>
      </c>
      <c r="BB108" s="77">
        <f t="shared" si="43"/>
        <v>61</v>
      </c>
      <c r="BC108" s="77">
        <f t="shared" si="43"/>
        <v>58</v>
      </c>
      <c r="BD108" s="77">
        <f t="shared" si="43"/>
        <v>44</v>
      </c>
      <c r="BE108" s="77">
        <f t="shared" si="43"/>
        <v>47</v>
      </c>
      <c r="BF108" s="77">
        <f t="shared" si="43"/>
        <v>50</v>
      </c>
      <c r="BG108" s="77">
        <f t="shared" si="43"/>
        <v>47</v>
      </c>
      <c r="BH108" s="77">
        <f t="shared" si="43"/>
        <v>0</v>
      </c>
      <c r="BI108" s="77">
        <f t="shared" si="43"/>
        <v>0</v>
      </c>
      <c r="BJ108" s="77">
        <f t="shared" si="43"/>
        <v>0</v>
      </c>
      <c r="BK108" s="77">
        <f t="shared" si="43"/>
        <v>494</v>
      </c>
      <c r="BL108" s="127">
        <f t="shared" si="40"/>
        <v>-0.40338164251207731</v>
      </c>
      <c r="BM108" s="1219"/>
      <c r="BN108" s="1220"/>
      <c r="BO108" s="1220"/>
      <c r="BP108" s="1220"/>
      <c r="BQ108" s="1221"/>
    </row>
    <row r="109" spans="1:69" ht="51.75" customHeight="1" x14ac:dyDescent="0.25"/>
    <row r="112" spans="1:69" ht="43.5" customHeight="1" x14ac:dyDescent="0.25">
      <c r="A112" s="1154" t="str">
        <f>+D18</f>
        <v>PORCENTAJE (%)  DE DISMINUCIÓN DE CONSUMO DE ENERGÍA.</v>
      </c>
      <c r="B112" s="1155"/>
      <c r="C112" s="1155"/>
      <c r="D112" s="1155"/>
      <c r="E112" s="1155"/>
      <c r="F112" s="1155"/>
      <c r="G112" s="1155"/>
      <c r="H112" s="1155"/>
      <c r="I112" s="1155"/>
      <c r="J112" s="1155"/>
      <c r="K112" s="1155"/>
      <c r="L112" s="1155"/>
      <c r="M112" s="1155"/>
      <c r="N112" s="1155"/>
      <c r="O112" s="1155"/>
      <c r="P112" s="1155"/>
      <c r="Q112" s="1155"/>
      <c r="R112" s="1155"/>
      <c r="S112" s="1155"/>
      <c r="T112" s="1155"/>
      <c r="U112" s="1155"/>
      <c r="V112" s="1155"/>
      <c r="W112" s="1155"/>
      <c r="X112" s="1155"/>
      <c r="Y112" s="1155"/>
      <c r="Z112" s="1155"/>
      <c r="AA112" s="1155"/>
      <c r="AB112" s="1155"/>
      <c r="AC112" s="1155"/>
      <c r="AD112" s="1155"/>
    </row>
    <row r="113" spans="1:69" x14ac:dyDescent="0.25">
      <c r="A113" s="5"/>
    </row>
    <row r="114" spans="1:69" ht="23" x14ac:dyDescent="0.45">
      <c r="A114" s="26"/>
      <c r="G114" s="31">
        <v>2012</v>
      </c>
      <c r="H114" s="31">
        <v>2013</v>
      </c>
      <c r="I114" s="31">
        <v>2014</v>
      </c>
      <c r="J114" s="31">
        <v>2014</v>
      </c>
      <c r="K114" s="31">
        <v>2015</v>
      </c>
      <c r="L114" s="31">
        <v>2016</v>
      </c>
    </row>
    <row r="115" spans="1:69" ht="22.5" customHeight="1" x14ac:dyDescent="0.45">
      <c r="A115" s="866" t="s">
        <v>448</v>
      </c>
      <c r="B115" s="867"/>
      <c r="C115" s="867"/>
      <c r="D115" s="867"/>
      <c r="E115" s="867"/>
      <c r="F115" s="867"/>
      <c r="G115" s="32">
        <v>0.15</v>
      </c>
      <c r="H115" s="32">
        <v>-0.37</v>
      </c>
      <c r="I115" s="32">
        <v>-0.02</v>
      </c>
      <c r="J115" s="32">
        <f>+Z125</f>
        <v>0.29385849768647665</v>
      </c>
      <c r="K115" s="32">
        <f>+AS125</f>
        <v>-5.6571830753720409E-2</v>
      </c>
      <c r="L115" s="32">
        <f>+BL125</f>
        <v>-0.23142167767778532</v>
      </c>
    </row>
    <row r="116" spans="1:69" ht="23" x14ac:dyDescent="0.45">
      <c r="A116" s="866" t="s">
        <v>76</v>
      </c>
      <c r="B116" s="867"/>
      <c r="C116" s="867"/>
      <c r="D116" s="867"/>
      <c r="E116" s="867"/>
      <c r="F116" s="867"/>
      <c r="G116" s="32">
        <v>-0.01</v>
      </c>
      <c r="H116" s="32">
        <v>-0.01</v>
      </c>
      <c r="I116" s="32">
        <v>-0.01</v>
      </c>
      <c r="J116" s="32">
        <v>-0.01</v>
      </c>
      <c r="K116" s="32">
        <v>-0.01</v>
      </c>
      <c r="L116" s="32">
        <v>-0.01</v>
      </c>
    </row>
    <row r="117" spans="1:69" x14ac:dyDescent="0.25">
      <c r="A117" s="5"/>
    </row>
    <row r="118" spans="1:69" ht="36.75" customHeight="1" x14ac:dyDescent="0.25">
      <c r="A118" s="5"/>
      <c r="B118" s="28"/>
      <c r="C118" s="28"/>
      <c r="D118" s="28"/>
      <c r="G118" s="1251" t="s">
        <v>78</v>
      </c>
      <c r="H118" s="1251"/>
      <c r="I118" s="1251"/>
      <c r="J118" s="1251"/>
      <c r="K118" s="1251"/>
      <c r="L118" s="1251"/>
      <c r="M118" s="1251"/>
      <c r="N118" s="1251"/>
      <c r="O118" s="1251"/>
      <c r="P118" s="1251"/>
      <c r="Q118" s="1251"/>
      <c r="R118" s="1251"/>
      <c r="S118" s="1251"/>
      <c r="T118" s="1251"/>
      <c r="U118" s="1251"/>
      <c r="V118" s="1251"/>
      <c r="W118" s="1251"/>
      <c r="X118" s="1251"/>
      <c r="Y118" s="1251"/>
      <c r="Z118" s="1251"/>
      <c r="AA118" s="1251"/>
      <c r="AB118" s="1251"/>
      <c r="AC118" s="1251"/>
      <c r="AD118" s="1251"/>
      <c r="AE118" s="1251"/>
      <c r="AF118" s="1251"/>
      <c r="AG118" s="1251"/>
      <c r="AH118" s="1251"/>
      <c r="AI118" s="1251"/>
      <c r="AJ118" s="1251"/>
      <c r="AK118" s="1251"/>
      <c r="AL118" s="1251"/>
      <c r="AM118" s="1251"/>
      <c r="AN118" s="1251"/>
      <c r="AO118" s="1251"/>
      <c r="AP118" s="1251"/>
      <c r="AQ118" s="1251"/>
      <c r="AR118" s="1251"/>
      <c r="AS118" s="1251"/>
      <c r="AT118" s="1251"/>
      <c r="AU118" s="1251"/>
      <c r="AV118" s="1251"/>
      <c r="AW118" s="1251"/>
      <c r="AX118" s="1251"/>
      <c r="AY118" s="1251"/>
      <c r="AZ118" s="1251"/>
      <c r="BA118" s="1251"/>
      <c r="BB118" s="1251"/>
      <c r="BC118" s="1251"/>
      <c r="BD118" s="1251"/>
      <c r="BE118" s="1251"/>
      <c r="BF118" s="1251"/>
      <c r="BG118" s="1251"/>
      <c r="BH118" s="1251"/>
      <c r="BI118" s="1251"/>
      <c r="BJ118" s="1251"/>
      <c r="BK118" s="1251"/>
      <c r="BL118" s="1251"/>
      <c r="BM118" s="1251"/>
      <c r="BN118" s="1251"/>
      <c r="BO118" s="1251"/>
      <c r="BP118" s="1251"/>
      <c r="BQ118" s="1251"/>
    </row>
    <row r="119" spans="1:69" ht="36.75" customHeight="1" x14ac:dyDescent="0.25">
      <c r="A119" s="5"/>
      <c r="G119" s="1222" t="s">
        <v>442</v>
      </c>
      <c r="H119" s="1222" t="s">
        <v>417</v>
      </c>
      <c r="I119" s="1222"/>
      <c r="J119" s="1222"/>
      <c r="K119" s="1222"/>
      <c r="L119" s="1222"/>
      <c r="M119" s="1222"/>
      <c r="N119" s="1222"/>
      <c r="O119" s="1222"/>
      <c r="P119" s="1222"/>
      <c r="Q119" s="1222"/>
      <c r="R119" s="1222"/>
      <c r="S119" s="1222"/>
      <c r="T119" s="1222"/>
      <c r="U119" s="1222"/>
      <c r="V119" s="1222"/>
      <c r="W119" s="1222"/>
      <c r="X119" s="1222"/>
      <c r="Y119" s="1222"/>
      <c r="Z119" s="1222"/>
      <c r="AA119" s="1222"/>
      <c r="AB119" s="1222"/>
      <c r="AC119" s="1222"/>
      <c r="AD119" s="1222"/>
      <c r="AE119" s="1222"/>
      <c r="AF119" s="1222"/>
      <c r="AG119" s="1222"/>
      <c r="AH119" s="1222"/>
      <c r="AI119" s="1222"/>
      <c r="AJ119" s="1222"/>
      <c r="AK119" s="1222"/>
      <c r="AL119" s="1222"/>
      <c r="AM119" s="1222"/>
      <c r="AN119" s="1222"/>
      <c r="AO119" s="1222"/>
      <c r="AP119" s="1222"/>
      <c r="AQ119" s="1222"/>
      <c r="AR119" s="1222"/>
      <c r="AS119" s="1222"/>
      <c r="AT119" s="1222"/>
      <c r="AU119" s="1222"/>
      <c r="AV119" s="1222"/>
      <c r="AW119" s="1222"/>
      <c r="AX119" s="1222"/>
      <c r="AY119" s="1222"/>
      <c r="AZ119" s="1222"/>
      <c r="BA119" s="1222"/>
      <c r="BB119" s="1222"/>
      <c r="BC119" s="1222"/>
      <c r="BD119" s="1222"/>
      <c r="BE119" s="1222"/>
      <c r="BF119" s="1222"/>
      <c r="BG119" s="1222"/>
      <c r="BH119" s="1222"/>
      <c r="BI119" s="1222"/>
      <c r="BJ119" s="1222"/>
      <c r="BK119" s="1222"/>
      <c r="BL119" s="1222"/>
      <c r="BM119" s="1222"/>
      <c r="BN119" s="1222"/>
      <c r="BO119" s="1222"/>
      <c r="BP119" s="1222"/>
      <c r="BQ119" s="1222"/>
    </row>
    <row r="120" spans="1:69" ht="36.75" customHeight="1" x14ac:dyDescent="0.3">
      <c r="B120" s="29"/>
      <c r="C120" s="30"/>
      <c r="D120" s="30"/>
      <c r="G120" s="1222"/>
      <c r="H120" s="1222">
        <v>2011</v>
      </c>
      <c r="I120" s="1222">
        <v>2012</v>
      </c>
      <c r="J120" s="1222">
        <v>2013</v>
      </c>
      <c r="K120" s="1222"/>
      <c r="L120" s="1222"/>
      <c r="M120" s="1222">
        <v>2014</v>
      </c>
      <c r="N120" s="1222"/>
      <c r="O120" s="1222"/>
      <c r="P120" s="1222"/>
      <c r="Q120" s="1222"/>
      <c r="R120" s="1222"/>
      <c r="S120" s="1222"/>
      <c r="T120" s="1222"/>
      <c r="U120" s="1222"/>
      <c r="V120" s="1222"/>
      <c r="W120" s="1222"/>
      <c r="X120" s="1222"/>
      <c r="Y120" s="1222"/>
      <c r="Z120" s="1222" t="s">
        <v>418</v>
      </c>
      <c r="AA120" s="1165" t="s">
        <v>79</v>
      </c>
      <c r="AB120" s="1165"/>
      <c r="AC120" s="1165"/>
      <c r="AD120" s="1165"/>
      <c r="AE120" s="1165"/>
      <c r="AF120" s="1222">
        <v>2015</v>
      </c>
      <c r="AG120" s="1222"/>
      <c r="AH120" s="1222"/>
      <c r="AI120" s="1222"/>
      <c r="AJ120" s="1222"/>
      <c r="AK120" s="1222"/>
      <c r="AL120" s="1222"/>
      <c r="AM120" s="1222"/>
      <c r="AN120" s="1222"/>
      <c r="AO120" s="1222"/>
      <c r="AP120" s="1222"/>
      <c r="AQ120" s="1222"/>
      <c r="AR120" s="1222"/>
      <c r="AS120" s="1222" t="s">
        <v>733</v>
      </c>
      <c r="AT120" s="1165" t="s">
        <v>79</v>
      </c>
      <c r="AU120" s="1165"/>
      <c r="AV120" s="1165"/>
      <c r="AW120" s="1165"/>
      <c r="AX120" s="1165"/>
      <c r="AY120" s="1222">
        <v>2016</v>
      </c>
      <c r="AZ120" s="1222"/>
      <c r="BA120" s="1222"/>
      <c r="BB120" s="1222"/>
      <c r="BC120" s="1222"/>
      <c r="BD120" s="1222"/>
      <c r="BE120" s="1222"/>
      <c r="BF120" s="1222"/>
      <c r="BG120" s="1222"/>
      <c r="BH120" s="1222"/>
      <c r="BI120" s="1222"/>
      <c r="BJ120" s="1222"/>
      <c r="BK120" s="1222"/>
      <c r="BL120" s="1222" t="s">
        <v>733</v>
      </c>
      <c r="BM120" s="1165" t="s">
        <v>79</v>
      </c>
      <c r="BN120" s="1165"/>
      <c r="BO120" s="1165"/>
      <c r="BP120" s="1165"/>
      <c r="BQ120" s="1165"/>
    </row>
    <row r="121" spans="1:69" ht="36.75" customHeight="1" x14ac:dyDescent="0.3">
      <c r="B121" s="29"/>
      <c r="C121" s="30"/>
      <c r="D121" s="30"/>
      <c r="G121" s="1222"/>
      <c r="H121" s="1222"/>
      <c r="I121" s="1222"/>
      <c r="J121" s="1222" t="s">
        <v>419</v>
      </c>
      <c r="K121" s="1222" t="s">
        <v>420</v>
      </c>
      <c r="L121" s="1222" t="s">
        <v>185</v>
      </c>
      <c r="M121" s="1222" t="s">
        <v>86</v>
      </c>
      <c r="N121" s="1222"/>
      <c r="O121" s="1222"/>
      <c r="P121" s="1222"/>
      <c r="Q121" s="1222"/>
      <c r="R121" s="1222"/>
      <c r="S121" s="1222"/>
      <c r="T121" s="1222"/>
      <c r="U121" s="1222"/>
      <c r="V121" s="1222"/>
      <c r="W121" s="1222"/>
      <c r="X121" s="1222"/>
      <c r="Y121" s="1222"/>
      <c r="Z121" s="1222"/>
      <c r="AA121" s="1165"/>
      <c r="AB121" s="1165"/>
      <c r="AC121" s="1165"/>
      <c r="AD121" s="1165"/>
      <c r="AE121" s="1165"/>
      <c r="AF121" s="1222" t="s">
        <v>86</v>
      </c>
      <c r="AG121" s="1222"/>
      <c r="AH121" s="1222"/>
      <c r="AI121" s="1222"/>
      <c r="AJ121" s="1222"/>
      <c r="AK121" s="1222"/>
      <c r="AL121" s="1222"/>
      <c r="AM121" s="1222"/>
      <c r="AN121" s="1222"/>
      <c r="AO121" s="1222"/>
      <c r="AP121" s="1222"/>
      <c r="AQ121" s="1222"/>
      <c r="AR121" s="1222"/>
      <c r="AS121" s="1222"/>
      <c r="AT121" s="1165"/>
      <c r="AU121" s="1165"/>
      <c r="AV121" s="1165"/>
      <c r="AW121" s="1165"/>
      <c r="AX121" s="1165"/>
      <c r="AY121" s="1222" t="s">
        <v>86</v>
      </c>
      <c r="AZ121" s="1222"/>
      <c r="BA121" s="1222"/>
      <c r="BB121" s="1222"/>
      <c r="BC121" s="1222"/>
      <c r="BD121" s="1222"/>
      <c r="BE121" s="1222"/>
      <c r="BF121" s="1222"/>
      <c r="BG121" s="1222"/>
      <c r="BH121" s="1222"/>
      <c r="BI121" s="1222"/>
      <c r="BJ121" s="1222"/>
      <c r="BK121" s="1222"/>
      <c r="BL121" s="1222"/>
      <c r="BM121" s="1165"/>
      <c r="BN121" s="1165"/>
      <c r="BO121" s="1165"/>
      <c r="BP121" s="1165"/>
      <c r="BQ121" s="1165"/>
    </row>
    <row r="122" spans="1:69" ht="36.75" customHeight="1" x14ac:dyDescent="0.3">
      <c r="B122" s="29"/>
      <c r="C122" s="30"/>
      <c r="D122" s="30"/>
      <c r="G122" s="1222"/>
      <c r="H122" s="1222"/>
      <c r="I122" s="1222"/>
      <c r="J122" s="1222"/>
      <c r="K122" s="1222"/>
      <c r="L122" s="1222"/>
      <c r="M122" s="295" t="s">
        <v>421</v>
      </c>
      <c r="N122" s="295" t="s">
        <v>422</v>
      </c>
      <c r="O122" s="295" t="s">
        <v>423</v>
      </c>
      <c r="P122" s="295" t="s">
        <v>424</v>
      </c>
      <c r="Q122" s="295" t="s">
        <v>425</v>
      </c>
      <c r="R122" s="295" t="s">
        <v>426</v>
      </c>
      <c r="S122" s="295" t="s">
        <v>427</v>
      </c>
      <c r="T122" s="295" t="s">
        <v>428</v>
      </c>
      <c r="U122" s="295" t="s">
        <v>429</v>
      </c>
      <c r="V122" s="295" t="s">
        <v>430</v>
      </c>
      <c r="W122" s="295" t="s">
        <v>431</v>
      </c>
      <c r="X122" s="295" t="s">
        <v>432</v>
      </c>
      <c r="Y122" s="295" t="s">
        <v>81</v>
      </c>
      <c r="Z122" s="1222"/>
      <c r="AA122" s="1165"/>
      <c r="AB122" s="1165"/>
      <c r="AC122" s="1165"/>
      <c r="AD122" s="1165"/>
      <c r="AE122" s="1165"/>
      <c r="AF122" s="295" t="s">
        <v>421</v>
      </c>
      <c r="AG122" s="295" t="s">
        <v>422</v>
      </c>
      <c r="AH122" s="295" t="s">
        <v>423</v>
      </c>
      <c r="AI122" s="295" t="s">
        <v>424</v>
      </c>
      <c r="AJ122" s="295" t="s">
        <v>425</v>
      </c>
      <c r="AK122" s="295" t="s">
        <v>426</v>
      </c>
      <c r="AL122" s="295" t="s">
        <v>427</v>
      </c>
      <c r="AM122" s="295" t="s">
        <v>428</v>
      </c>
      <c r="AN122" s="295" t="s">
        <v>429</v>
      </c>
      <c r="AO122" s="295" t="s">
        <v>430</v>
      </c>
      <c r="AP122" s="295" t="s">
        <v>431</v>
      </c>
      <c r="AQ122" s="295" t="s">
        <v>432</v>
      </c>
      <c r="AR122" s="295" t="s">
        <v>81</v>
      </c>
      <c r="AS122" s="1222"/>
      <c r="AT122" s="1165"/>
      <c r="AU122" s="1165"/>
      <c r="AV122" s="1165"/>
      <c r="AW122" s="1165"/>
      <c r="AX122" s="1165"/>
      <c r="AY122" s="295" t="s">
        <v>421</v>
      </c>
      <c r="AZ122" s="295" t="s">
        <v>422</v>
      </c>
      <c r="BA122" s="295" t="s">
        <v>423</v>
      </c>
      <c r="BB122" s="295" t="s">
        <v>424</v>
      </c>
      <c r="BC122" s="295" t="s">
        <v>425</v>
      </c>
      <c r="BD122" s="295" t="s">
        <v>426</v>
      </c>
      <c r="BE122" s="295" t="s">
        <v>427</v>
      </c>
      <c r="BF122" s="295" t="s">
        <v>428</v>
      </c>
      <c r="BG122" s="295" t="s">
        <v>429</v>
      </c>
      <c r="BH122" s="295" t="s">
        <v>430</v>
      </c>
      <c r="BI122" s="295" t="s">
        <v>431</v>
      </c>
      <c r="BJ122" s="295" t="s">
        <v>432</v>
      </c>
      <c r="BK122" s="295" t="s">
        <v>81</v>
      </c>
      <c r="BL122" s="1222"/>
      <c r="BM122" s="1165"/>
      <c r="BN122" s="1165"/>
      <c r="BO122" s="1165"/>
      <c r="BP122" s="1165"/>
      <c r="BQ122" s="1165"/>
    </row>
    <row r="123" spans="1:69" ht="51.75" customHeight="1" x14ac:dyDescent="0.3">
      <c r="B123" s="29"/>
      <c r="C123" s="30"/>
      <c r="D123" s="30"/>
      <c r="G123" s="129" t="s">
        <v>449</v>
      </c>
      <c r="H123" s="130">
        <v>162694</v>
      </c>
      <c r="I123" s="130">
        <v>186314</v>
      </c>
      <c r="J123" s="130">
        <v>112754</v>
      </c>
      <c r="K123" s="131">
        <f>+J123/12</f>
        <v>9396.1666666666661</v>
      </c>
      <c r="L123" s="117">
        <f>+J123*0.01</f>
        <v>1127.54</v>
      </c>
      <c r="M123" s="195">
        <v>13200</v>
      </c>
      <c r="N123" s="195">
        <v>11200</v>
      </c>
      <c r="O123" s="195">
        <v>15040</v>
      </c>
      <c r="P123" s="195">
        <v>12080</v>
      </c>
      <c r="Q123" s="195">
        <v>12400</v>
      </c>
      <c r="R123" s="195">
        <v>12640</v>
      </c>
      <c r="S123" s="195">
        <v>12880</v>
      </c>
      <c r="T123" s="195">
        <v>12720</v>
      </c>
      <c r="U123" s="195">
        <v>12720</v>
      </c>
      <c r="V123" s="195">
        <v>12480</v>
      </c>
      <c r="W123" s="195">
        <v>11200</v>
      </c>
      <c r="X123" s="195">
        <v>12160</v>
      </c>
      <c r="Y123" s="130">
        <f>SUM(M123:X123)</f>
        <v>150720</v>
      </c>
      <c r="Z123" s="118">
        <f>+(Y123/J123)-1</f>
        <v>0.33671532717242858</v>
      </c>
      <c r="AA123" s="996" t="s">
        <v>774</v>
      </c>
      <c r="AB123" s="996"/>
      <c r="AC123" s="996"/>
      <c r="AD123" s="996"/>
      <c r="AE123" s="996"/>
      <c r="AF123" s="195">
        <v>10320</v>
      </c>
      <c r="AG123" s="195">
        <v>9840</v>
      </c>
      <c r="AH123" s="195">
        <v>14320</v>
      </c>
      <c r="AI123" s="195">
        <v>10582</v>
      </c>
      <c r="AJ123" s="195">
        <v>10746</v>
      </c>
      <c r="AK123" s="195">
        <v>13120</v>
      </c>
      <c r="AL123" s="195">
        <v>12348</v>
      </c>
      <c r="AM123" s="195">
        <v>7920</v>
      </c>
      <c r="AN123" s="195">
        <v>13200</v>
      </c>
      <c r="AO123" s="195">
        <v>13280</v>
      </c>
      <c r="AP123" s="195">
        <v>13280</v>
      </c>
      <c r="AQ123" s="195">
        <v>13200</v>
      </c>
      <c r="AR123" s="130">
        <f>SUM(AF123:AQ123)</f>
        <v>142156</v>
      </c>
      <c r="AS123" s="118">
        <f>+(AR123/Y123)-1</f>
        <v>-5.6820594479830122E-2</v>
      </c>
      <c r="AT123" s="996" t="s">
        <v>775</v>
      </c>
      <c r="AU123" s="996"/>
      <c r="AV123" s="996"/>
      <c r="AW123" s="996"/>
      <c r="AX123" s="996"/>
      <c r="AY123" s="195">
        <v>13500</v>
      </c>
      <c r="AZ123" s="195">
        <v>12160</v>
      </c>
      <c r="BA123" s="195">
        <v>11440</v>
      </c>
      <c r="BB123" s="195">
        <v>13040</v>
      </c>
      <c r="BC123" s="195">
        <v>12960</v>
      </c>
      <c r="BD123" s="195">
        <v>12800</v>
      </c>
      <c r="BE123" s="195">
        <v>11680</v>
      </c>
      <c r="BF123" s="195">
        <v>11280</v>
      </c>
      <c r="BG123" s="195">
        <v>11200</v>
      </c>
      <c r="BH123" s="195"/>
      <c r="BI123" s="195"/>
      <c r="BJ123" s="195"/>
      <c r="BK123" s="130">
        <f>SUM(AY123:BJ123)</f>
        <v>110060</v>
      </c>
      <c r="BL123" s="118">
        <f>+(BK123/AR123)-1</f>
        <v>-0.22578012887250631</v>
      </c>
      <c r="BM123" s="996" t="s">
        <v>868</v>
      </c>
      <c r="BN123" s="996"/>
      <c r="BO123" s="996"/>
      <c r="BP123" s="996"/>
      <c r="BQ123" s="996"/>
    </row>
    <row r="124" spans="1:69" ht="64.5" customHeight="1" x14ac:dyDescent="0.3">
      <c r="B124" s="29"/>
      <c r="C124" s="30"/>
      <c r="D124" s="30"/>
      <c r="G124" s="129" t="s">
        <v>450</v>
      </c>
      <c r="H124" s="130">
        <v>5827</v>
      </c>
      <c r="I124" s="130">
        <v>7671.1</v>
      </c>
      <c r="J124" s="130">
        <v>9138</v>
      </c>
      <c r="K124" s="131">
        <f>+J124/12</f>
        <v>761.5</v>
      </c>
      <c r="L124" s="117">
        <f>+J124*0.01</f>
        <v>91.38</v>
      </c>
      <c r="M124" s="195">
        <v>608</v>
      </c>
      <c r="N124" s="195">
        <v>508</v>
      </c>
      <c r="O124" s="195">
        <v>594</v>
      </c>
      <c r="P124" s="195">
        <v>556</v>
      </c>
      <c r="Q124" s="195">
        <v>575</v>
      </c>
      <c r="R124" s="195">
        <v>556</v>
      </c>
      <c r="S124" s="195">
        <v>683</v>
      </c>
      <c r="T124" s="195">
        <v>547</v>
      </c>
      <c r="U124" s="195">
        <v>496</v>
      </c>
      <c r="V124" s="195">
        <v>548</v>
      </c>
      <c r="W124" s="195">
        <v>617</v>
      </c>
      <c r="X124" s="195">
        <v>703</v>
      </c>
      <c r="Y124" s="130">
        <f>SUM(M124:X124)</f>
        <v>6991</v>
      </c>
      <c r="Z124" s="118">
        <f>+(Y124/J124)-1</f>
        <v>-0.23495294375136788</v>
      </c>
      <c r="AA124" s="996"/>
      <c r="AB124" s="996"/>
      <c r="AC124" s="996"/>
      <c r="AD124" s="996"/>
      <c r="AE124" s="996"/>
      <c r="AF124" s="195">
        <v>521</v>
      </c>
      <c r="AG124" s="195">
        <v>443</v>
      </c>
      <c r="AH124" s="195">
        <v>554</v>
      </c>
      <c r="AI124" s="195">
        <v>540</v>
      </c>
      <c r="AJ124" s="195">
        <v>465</v>
      </c>
      <c r="AK124" s="195">
        <v>661</v>
      </c>
      <c r="AL124" s="195">
        <v>623</v>
      </c>
      <c r="AM124" s="195">
        <v>630</v>
      </c>
      <c r="AN124" s="298">
        <v>585</v>
      </c>
      <c r="AO124" s="195">
        <v>588</v>
      </c>
      <c r="AP124" s="195">
        <v>588</v>
      </c>
      <c r="AQ124" s="195">
        <v>435</v>
      </c>
      <c r="AR124" s="130">
        <f>SUM(AF124:AQ124)</f>
        <v>6633</v>
      </c>
      <c r="AS124" s="118">
        <f>+(AR124/Y124)-1</f>
        <v>-5.1208696896009154E-2</v>
      </c>
      <c r="AT124" s="996"/>
      <c r="AU124" s="996"/>
      <c r="AV124" s="996"/>
      <c r="AW124" s="996"/>
      <c r="AX124" s="996"/>
      <c r="AY124" s="195">
        <v>435</v>
      </c>
      <c r="AZ124" s="195">
        <v>418</v>
      </c>
      <c r="BA124" s="195">
        <v>594</v>
      </c>
      <c r="BB124" s="195">
        <v>398</v>
      </c>
      <c r="BC124" s="195">
        <v>557</v>
      </c>
      <c r="BD124" s="195">
        <v>298</v>
      </c>
      <c r="BE124" s="195">
        <v>622</v>
      </c>
      <c r="BF124" s="195">
        <v>470</v>
      </c>
      <c r="BG124" s="298">
        <v>504</v>
      </c>
      <c r="BH124" s="195"/>
      <c r="BI124" s="195"/>
      <c r="BJ124" s="195"/>
      <c r="BK124" s="130">
        <f>SUM(AY124:BJ124)</f>
        <v>4296</v>
      </c>
      <c r="BL124" s="118">
        <f>+(BK124/AR124)-1</f>
        <v>-0.35232926277702392</v>
      </c>
      <c r="BM124" s="996"/>
      <c r="BN124" s="996"/>
      <c r="BO124" s="996"/>
      <c r="BP124" s="996"/>
      <c r="BQ124" s="996"/>
    </row>
    <row r="125" spans="1:69" ht="58.5" customHeight="1" x14ac:dyDescent="0.25">
      <c r="G125" s="296" t="s">
        <v>81</v>
      </c>
      <c r="H125" s="130">
        <f>SUM(H123:H124)</f>
        <v>168521</v>
      </c>
      <c r="I125" s="130">
        <f>SUM(I123:I124)</f>
        <v>193985.1</v>
      </c>
      <c r="J125" s="130">
        <f>SUM(J123:J124)</f>
        <v>121892</v>
      </c>
      <c r="K125" s="131">
        <f>+J125/12</f>
        <v>10157.666666666666</v>
      </c>
      <c r="L125" s="117">
        <f>+J125*0.01</f>
        <v>1218.92</v>
      </c>
      <c r="M125" s="130">
        <f t="shared" ref="M125:Y125" si="44">SUM(M123:M124)</f>
        <v>13808</v>
      </c>
      <c r="N125" s="130">
        <f t="shared" si="44"/>
        <v>11708</v>
      </c>
      <c r="O125" s="130">
        <f t="shared" si="44"/>
        <v>15634</v>
      </c>
      <c r="P125" s="130">
        <f t="shared" si="44"/>
        <v>12636</v>
      </c>
      <c r="Q125" s="130">
        <f t="shared" si="44"/>
        <v>12975</v>
      </c>
      <c r="R125" s="130">
        <f t="shared" si="44"/>
        <v>13196</v>
      </c>
      <c r="S125" s="130">
        <f t="shared" si="44"/>
        <v>13563</v>
      </c>
      <c r="T125" s="130">
        <f t="shared" si="44"/>
        <v>13267</v>
      </c>
      <c r="U125" s="130">
        <f t="shared" si="44"/>
        <v>13216</v>
      </c>
      <c r="V125" s="130">
        <f t="shared" si="44"/>
        <v>13028</v>
      </c>
      <c r="W125" s="130">
        <f t="shared" si="44"/>
        <v>11817</v>
      </c>
      <c r="X125" s="130">
        <f t="shared" si="44"/>
        <v>12863</v>
      </c>
      <c r="Y125" s="130">
        <f t="shared" si="44"/>
        <v>157711</v>
      </c>
      <c r="Z125" s="118">
        <f>+(Y125/J125)-1</f>
        <v>0.29385849768647665</v>
      </c>
      <c r="AA125" s="996"/>
      <c r="AB125" s="996"/>
      <c r="AC125" s="996"/>
      <c r="AD125" s="996"/>
      <c r="AE125" s="996"/>
      <c r="AF125" s="130">
        <f t="shared" ref="AF125:AR125" si="45">SUM(AF123:AF124)</f>
        <v>10841</v>
      </c>
      <c r="AG125" s="130">
        <f t="shared" si="45"/>
        <v>10283</v>
      </c>
      <c r="AH125" s="130">
        <f t="shared" si="45"/>
        <v>14874</v>
      </c>
      <c r="AI125" s="130">
        <f t="shared" si="45"/>
        <v>11122</v>
      </c>
      <c r="AJ125" s="130">
        <f t="shared" si="45"/>
        <v>11211</v>
      </c>
      <c r="AK125" s="130">
        <f t="shared" si="45"/>
        <v>13781</v>
      </c>
      <c r="AL125" s="130">
        <f t="shared" si="45"/>
        <v>12971</v>
      </c>
      <c r="AM125" s="130">
        <f t="shared" si="45"/>
        <v>8550</v>
      </c>
      <c r="AN125" s="130">
        <f t="shared" si="45"/>
        <v>13785</v>
      </c>
      <c r="AO125" s="130">
        <f t="shared" si="45"/>
        <v>13868</v>
      </c>
      <c r="AP125" s="130">
        <f t="shared" si="45"/>
        <v>13868</v>
      </c>
      <c r="AQ125" s="130">
        <f t="shared" si="45"/>
        <v>13635</v>
      </c>
      <c r="AR125" s="130">
        <f t="shared" si="45"/>
        <v>148789</v>
      </c>
      <c r="AS125" s="118">
        <f>+(AR125/Y125)-1</f>
        <v>-5.6571830753720409E-2</v>
      </c>
      <c r="AT125" s="996"/>
      <c r="AU125" s="996"/>
      <c r="AV125" s="996"/>
      <c r="AW125" s="996"/>
      <c r="AX125" s="996"/>
      <c r="AY125" s="130">
        <f t="shared" ref="AY125:BK125" si="46">SUM(AY123:AY124)</f>
        <v>13935</v>
      </c>
      <c r="AZ125" s="130">
        <f t="shared" si="46"/>
        <v>12578</v>
      </c>
      <c r="BA125" s="130">
        <f t="shared" si="46"/>
        <v>12034</v>
      </c>
      <c r="BB125" s="130">
        <f t="shared" si="46"/>
        <v>13438</v>
      </c>
      <c r="BC125" s="130">
        <f t="shared" si="46"/>
        <v>13517</v>
      </c>
      <c r="BD125" s="130">
        <f t="shared" si="46"/>
        <v>13098</v>
      </c>
      <c r="BE125" s="130">
        <f t="shared" si="46"/>
        <v>12302</v>
      </c>
      <c r="BF125" s="130">
        <f t="shared" si="46"/>
        <v>11750</v>
      </c>
      <c r="BG125" s="130">
        <f t="shared" si="46"/>
        <v>11704</v>
      </c>
      <c r="BH125" s="130">
        <f t="shared" si="46"/>
        <v>0</v>
      </c>
      <c r="BI125" s="130">
        <f t="shared" si="46"/>
        <v>0</v>
      </c>
      <c r="BJ125" s="130">
        <f t="shared" si="46"/>
        <v>0</v>
      </c>
      <c r="BK125" s="130">
        <f t="shared" si="46"/>
        <v>114356</v>
      </c>
      <c r="BL125" s="118">
        <f>+(BK125/AR125)-1</f>
        <v>-0.23142167767778532</v>
      </c>
      <c r="BM125" s="996"/>
      <c r="BN125" s="996"/>
      <c r="BO125" s="996"/>
      <c r="BP125" s="996"/>
      <c r="BQ125" s="996"/>
    </row>
    <row r="126" spans="1:69" ht="51.75" customHeight="1" x14ac:dyDescent="0.25"/>
    <row r="128" spans="1:69" ht="35.25" customHeight="1" x14ac:dyDescent="0.25">
      <c r="A128" s="1139" t="str">
        <f>+'Hoja 11. TABLA DE CONTROL'!B62</f>
        <v>N° DE APLICATIVOS FINANCIEROS Y CONTABLES ACTUALIZADOS</v>
      </c>
      <c r="B128" s="1139"/>
      <c r="C128" s="1139"/>
      <c r="D128" s="1139"/>
      <c r="E128" s="1139"/>
      <c r="F128" s="1139"/>
      <c r="G128" s="1139"/>
      <c r="H128" s="1139"/>
      <c r="I128" s="1139"/>
      <c r="J128" s="1139"/>
      <c r="K128" s="1139"/>
      <c r="L128" s="1139"/>
      <c r="M128" s="1139"/>
      <c r="N128" s="1139"/>
      <c r="O128" s="1139"/>
    </row>
    <row r="129" spans="1:15" ht="34.5" customHeight="1" x14ac:dyDescent="0.25">
      <c r="A129" s="294" t="s">
        <v>76</v>
      </c>
      <c r="B129" s="294" t="s">
        <v>95</v>
      </c>
      <c r="C129" s="1186" t="s">
        <v>78</v>
      </c>
      <c r="D129" s="1186"/>
      <c r="E129" s="1186"/>
      <c r="F129" s="1186"/>
      <c r="G129" s="1186"/>
      <c r="H129" s="1186" t="s">
        <v>79</v>
      </c>
      <c r="I129" s="1186"/>
      <c r="J129" s="1186"/>
      <c r="K129" s="1186"/>
      <c r="L129" s="1186"/>
      <c r="M129" s="1186"/>
      <c r="N129" s="1186"/>
      <c r="O129" s="1186"/>
    </row>
    <row r="130" spans="1:15" ht="118.5" customHeight="1" x14ac:dyDescent="0.25">
      <c r="A130" s="291" t="str">
        <f>+'Hoja 11. TABLA DE CONTROL'!C62</f>
        <v>1 Aplicativo</v>
      </c>
      <c r="B130" s="196" t="s">
        <v>867</v>
      </c>
      <c r="C130" s="1248" t="s">
        <v>866</v>
      </c>
      <c r="D130" s="1248"/>
      <c r="E130" s="1248"/>
      <c r="F130" s="1248"/>
      <c r="G130" s="1248"/>
      <c r="H130" s="1249" t="s">
        <v>865</v>
      </c>
      <c r="I130" s="1249"/>
      <c r="J130" s="1249"/>
      <c r="K130" s="1249"/>
      <c r="L130" s="1249"/>
      <c r="M130" s="1249"/>
      <c r="N130" s="1249"/>
      <c r="O130" s="1249"/>
    </row>
    <row r="131" spans="1:15" ht="25.5" customHeight="1" x14ac:dyDescent="0.25"/>
    <row r="132" spans="1:15" ht="36.75" customHeight="1" x14ac:dyDescent="0.25">
      <c r="A132" s="1250" t="str">
        <f>+'Hoja 11. TABLA DE CONTROL'!B63</f>
        <v>PORCENTAJE (%) DE PRUEBAS DE INTERCALIBRACIÓN  APROBADAS.</v>
      </c>
      <c r="B132" s="1139"/>
      <c r="C132" s="1139"/>
      <c r="D132" s="1139"/>
      <c r="E132" s="1139"/>
      <c r="F132" s="1139"/>
      <c r="G132" s="1139"/>
      <c r="H132" s="1139"/>
      <c r="I132" s="1139"/>
      <c r="J132" s="1139"/>
      <c r="K132" s="1139"/>
      <c r="L132" s="1139"/>
      <c r="M132" s="1139"/>
      <c r="N132" s="1139"/>
      <c r="O132" s="1139"/>
    </row>
    <row r="133" spans="1:15" ht="35.25" customHeight="1" x14ac:dyDescent="0.25">
      <c r="A133" s="294" t="s">
        <v>76</v>
      </c>
      <c r="B133" s="294" t="s">
        <v>95</v>
      </c>
      <c r="C133" s="1186" t="s">
        <v>78</v>
      </c>
      <c r="D133" s="1186"/>
      <c r="E133" s="1186"/>
      <c r="F133" s="1186"/>
      <c r="G133" s="1186"/>
      <c r="H133" s="1186" t="s">
        <v>79</v>
      </c>
      <c r="I133" s="1186"/>
      <c r="J133" s="1186"/>
      <c r="K133" s="1186"/>
      <c r="L133" s="1186"/>
      <c r="M133" s="1186"/>
      <c r="N133" s="1186"/>
      <c r="O133" s="1186"/>
    </row>
    <row r="134" spans="1:15" ht="147" customHeight="1" x14ac:dyDescent="0.25">
      <c r="A134" s="291" t="str">
        <f>+'Hoja 11. TABLA DE CONTROL'!C63</f>
        <v>95% o más</v>
      </c>
      <c r="B134" s="177"/>
      <c r="C134" s="1248"/>
      <c r="D134" s="1248"/>
      <c r="E134" s="1248"/>
      <c r="F134" s="1248"/>
      <c r="G134" s="1248"/>
      <c r="H134" s="1249"/>
      <c r="I134" s="1249"/>
      <c r="J134" s="1249"/>
      <c r="K134" s="1249"/>
      <c r="L134" s="1249"/>
      <c r="M134" s="1249"/>
      <c r="N134" s="1249"/>
      <c r="O134" s="1249"/>
    </row>
    <row r="135" spans="1:15" ht="27.75" customHeight="1" x14ac:dyDescent="0.25"/>
    <row r="136" spans="1:15" ht="27" customHeight="1" x14ac:dyDescent="0.25">
      <c r="A136" s="1250" t="str">
        <f>+'Hoja 11. TABLA DE CONTROL'!B64</f>
        <v xml:space="preserve">PORCENTAJE (%) DE ANÁLISIS RESUELTOS EN UN TIEMPO IGUAL O INFERIOR A LO REGLAMENTADO EN EL SGC: 
*MICROBIOLÓGICOS Y/O POTABLES ELABORADOS EN UN TIEMPO MÁXIMO DE SIETE (7) DÍAS HÁBILES.
*CONCESIONES DE AGUAS Y/O PERMISOS DE VERTIMIENTOS ELABORADOS EN UN TIEMPO MÁXIMO DE DIEZ (10) DÍAS HÁBILES.
</v>
      </c>
      <c r="B136" s="1139"/>
      <c r="C136" s="1139"/>
      <c r="D136" s="1139"/>
      <c r="E136" s="1139"/>
      <c r="F136" s="1139"/>
      <c r="G136" s="1139"/>
      <c r="H136" s="1139"/>
      <c r="I136" s="1139"/>
      <c r="J136" s="1139"/>
      <c r="K136" s="1139"/>
      <c r="L136" s="1139"/>
      <c r="M136" s="1139"/>
      <c r="N136" s="1139"/>
      <c r="O136" s="1139"/>
    </row>
    <row r="137" spans="1:15" ht="25.5" customHeight="1" x14ac:dyDescent="0.25">
      <c r="A137" s="294" t="s">
        <v>76</v>
      </c>
      <c r="B137" s="294" t="s">
        <v>95</v>
      </c>
      <c r="C137" s="1186" t="s">
        <v>78</v>
      </c>
      <c r="D137" s="1186"/>
      <c r="E137" s="1186"/>
      <c r="F137" s="1186"/>
      <c r="G137" s="1186"/>
      <c r="H137" s="1186" t="s">
        <v>79</v>
      </c>
      <c r="I137" s="1186"/>
      <c r="J137" s="1186"/>
      <c r="K137" s="1186"/>
      <c r="L137" s="1186"/>
      <c r="M137" s="1186"/>
      <c r="N137" s="1186"/>
      <c r="O137" s="1186"/>
    </row>
    <row r="138" spans="1:15" ht="105.75" customHeight="1" x14ac:dyDescent="0.25">
      <c r="A138" s="291" t="str">
        <f>+'Hoja 11. TABLA DE CONTROL'!C64</f>
        <v>90% o más</v>
      </c>
      <c r="B138" s="177">
        <v>1</v>
      </c>
      <c r="C138" s="1248"/>
      <c r="D138" s="1248"/>
      <c r="E138" s="1248"/>
      <c r="F138" s="1248"/>
      <c r="G138" s="1248"/>
      <c r="H138" s="1249"/>
      <c r="I138" s="1249"/>
      <c r="J138" s="1249"/>
      <c r="K138" s="1249"/>
      <c r="L138" s="1249"/>
      <c r="M138" s="1249"/>
      <c r="N138" s="1249"/>
      <c r="O138" s="1249"/>
    </row>
  </sheetData>
  <mergeCells count="210">
    <mergeCell ref="BM123:BQ125"/>
    <mergeCell ref="H119:BQ119"/>
    <mergeCell ref="G118:BQ118"/>
    <mergeCell ref="A136:O136"/>
    <mergeCell ref="C137:G137"/>
    <mergeCell ref="H137:O137"/>
    <mergeCell ref="A128:O128"/>
    <mergeCell ref="C129:G129"/>
    <mergeCell ref="H129:O129"/>
    <mergeCell ref="AT123:AX125"/>
    <mergeCell ref="AA123:AE125"/>
    <mergeCell ref="C27:C29"/>
    <mergeCell ref="D27:D29"/>
    <mergeCell ref="E27:E29"/>
    <mergeCell ref="F27:F29"/>
    <mergeCell ref="G27:I29"/>
    <mergeCell ref="J27:J29"/>
    <mergeCell ref="N27:N29"/>
    <mergeCell ref="O27:O29"/>
    <mergeCell ref="A115:F115"/>
    <mergeCell ref="K27:K29"/>
    <mergeCell ref="A9:B29"/>
    <mergeCell ref="L39:O39"/>
    <mergeCell ref="G40:H40"/>
    <mergeCell ref="L40:O40"/>
    <mergeCell ref="G41:H41"/>
    <mergeCell ref="G61:BO61"/>
    <mergeCell ref="K63:M63"/>
    <mergeCell ref="AX63:BJ63"/>
    <mergeCell ref="BK63:BK65"/>
    <mergeCell ref="BL63:BO65"/>
    <mergeCell ref="A58:F58"/>
    <mergeCell ref="A59:F59"/>
    <mergeCell ref="G62:G65"/>
    <mergeCell ref="D18:D20"/>
    <mergeCell ref="C138:G138"/>
    <mergeCell ref="H138:O138"/>
    <mergeCell ref="A116:F116"/>
    <mergeCell ref="G119:G122"/>
    <mergeCell ref="C134:G134"/>
    <mergeCell ref="H134:O134"/>
    <mergeCell ref="C130:G130"/>
    <mergeCell ref="H130:O130"/>
    <mergeCell ref="A132:O132"/>
    <mergeCell ref="C133:G133"/>
    <mergeCell ref="H133:O133"/>
    <mergeCell ref="M121:Y121"/>
    <mergeCell ref="E18:E20"/>
    <mergeCell ref="F18:F20"/>
    <mergeCell ref="G18:I20"/>
    <mergeCell ref="J18:J20"/>
    <mergeCell ref="AX64:BJ64"/>
    <mergeCell ref="I62:BO62"/>
    <mergeCell ref="N63:Z63"/>
    <mergeCell ref="AA63:AA65"/>
    <mergeCell ref="K64:K65"/>
    <mergeCell ref="L64:L65"/>
    <mergeCell ref="N21:N23"/>
    <mergeCell ref="K18:K20"/>
    <mergeCell ref="N18:N20"/>
    <mergeCell ref="O18:O20"/>
    <mergeCell ref="AF63:AR63"/>
    <mergeCell ref="AF64:AR64"/>
    <mergeCell ref="AS63:AS65"/>
    <mergeCell ref="AB63:AE65"/>
    <mergeCell ref="L43:O43"/>
    <mergeCell ref="G50:G52"/>
    <mergeCell ref="L50:O50"/>
    <mergeCell ref="L51:O51"/>
    <mergeCell ref="L52:O52"/>
    <mergeCell ref="G37:H38"/>
    <mergeCell ref="A1:D1"/>
    <mergeCell ref="K15:K17"/>
    <mergeCell ref="G12:I14"/>
    <mergeCell ref="J12:J14"/>
    <mergeCell ref="K12:K14"/>
    <mergeCell ref="G15:I17"/>
    <mergeCell ref="J15:J17"/>
    <mergeCell ref="F9:F11"/>
    <mergeCell ref="O12:O14"/>
    <mergeCell ref="C15:C17"/>
    <mergeCell ref="D15:D17"/>
    <mergeCell ref="E15:E17"/>
    <mergeCell ref="F15:F17"/>
    <mergeCell ref="C12:C14"/>
    <mergeCell ref="D12:D14"/>
    <mergeCell ref="N12:N14"/>
    <mergeCell ref="N15:N17"/>
    <mergeCell ref="O15:O17"/>
    <mergeCell ref="A2:O2"/>
    <mergeCell ref="A4:B8"/>
    <mergeCell ref="C4:C8"/>
    <mergeCell ref="D4:D8"/>
    <mergeCell ref="E4:E8"/>
    <mergeCell ref="F4:F8"/>
    <mergeCell ref="G4:I4"/>
    <mergeCell ref="J4:J8"/>
    <mergeCell ref="K4:K8"/>
    <mergeCell ref="L4:M4"/>
    <mergeCell ref="E12:E14"/>
    <mergeCell ref="F12:F14"/>
    <mergeCell ref="A31:O31"/>
    <mergeCell ref="A34:F34"/>
    <mergeCell ref="A35:F35"/>
    <mergeCell ref="C9:C11"/>
    <mergeCell ref="D9:D11"/>
    <mergeCell ref="E9:E11"/>
    <mergeCell ref="C24:C26"/>
    <mergeCell ref="D24:D26"/>
    <mergeCell ref="E24:E26"/>
    <mergeCell ref="F24:F26"/>
    <mergeCell ref="C21:C23"/>
    <mergeCell ref="D21:D23"/>
    <mergeCell ref="E21:E23"/>
    <mergeCell ref="F21:F23"/>
    <mergeCell ref="G21:I23"/>
    <mergeCell ref="J21:J23"/>
    <mergeCell ref="K21:K23"/>
    <mergeCell ref="C18:C20"/>
    <mergeCell ref="N4:N8"/>
    <mergeCell ref="O4:O8"/>
    <mergeCell ref="G47:G49"/>
    <mergeCell ref="L47:O47"/>
    <mergeCell ref="L48:O48"/>
    <mergeCell ref="L49:O49"/>
    <mergeCell ref="I37:K37"/>
    <mergeCell ref="L37:O38"/>
    <mergeCell ref="O21:O23"/>
    <mergeCell ref="N24:N26"/>
    <mergeCell ref="G9:I11"/>
    <mergeCell ref="J9:J11"/>
    <mergeCell ref="K9:K11"/>
    <mergeCell ref="N9:N11"/>
    <mergeCell ref="O9:O11"/>
    <mergeCell ref="G24:I26"/>
    <mergeCell ref="J24:J26"/>
    <mergeCell ref="O24:O26"/>
    <mergeCell ref="K24:K26"/>
    <mergeCell ref="L41:O41"/>
    <mergeCell ref="G42:H42"/>
    <mergeCell ref="L42:O42"/>
    <mergeCell ref="G43:H43"/>
    <mergeCell ref="G44:H46"/>
    <mergeCell ref="M64:M65"/>
    <mergeCell ref="N64:Z64"/>
    <mergeCell ref="L44:O44"/>
    <mergeCell ref="L45:O45"/>
    <mergeCell ref="L46:O46"/>
    <mergeCell ref="G39:H39"/>
    <mergeCell ref="AT63:AW65"/>
    <mergeCell ref="AT66:AW89"/>
    <mergeCell ref="G66:G68"/>
    <mergeCell ref="AB66:AE89"/>
    <mergeCell ref="G69:G71"/>
    <mergeCell ref="G72:G74"/>
    <mergeCell ref="G75:G77"/>
    <mergeCell ref="G78:G80"/>
    <mergeCell ref="G81:G83"/>
    <mergeCell ref="G84:G86"/>
    <mergeCell ref="G87:G89"/>
    <mergeCell ref="I63:I65"/>
    <mergeCell ref="J63:J65"/>
    <mergeCell ref="A55:AE55"/>
    <mergeCell ref="H62:H65"/>
    <mergeCell ref="AF100:AR100"/>
    <mergeCell ref="AF101:AR101"/>
    <mergeCell ref="AA100:AE102"/>
    <mergeCell ref="AS100:AS102"/>
    <mergeCell ref="AT100:AX102"/>
    <mergeCell ref="A92:AE92"/>
    <mergeCell ref="A95:F95"/>
    <mergeCell ref="A96:F96"/>
    <mergeCell ref="H100:H102"/>
    <mergeCell ref="I100:I102"/>
    <mergeCell ref="J100:L100"/>
    <mergeCell ref="M100:Y100"/>
    <mergeCell ref="Z100:Z102"/>
    <mergeCell ref="J101:J102"/>
    <mergeCell ref="K101:K102"/>
    <mergeCell ref="L101:L102"/>
    <mergeCell ref="H99:BQ99"/>
    <mergeCell ref="G98:BQ98"/>
    <mergeCell ref="AY100:BK100"/>
    <mergeCell ref="BL100:BL102"/>
    <mergeCell ref="BM100:BQ102"/>
    <mergeCell ref="AY101:BK101"/>
    <mergeCell ref="BL66:BO89"/>
    <mergeCell ref="BM103:BQ108"/>
    <mergeCell ref="AY120:BK120"/>
    <mergeCell ref="BL120:BL122"/>
    <mergeCell ref="BM120:BQ122"/>
    <mergeCell ref="AY121:BK121"/>
    <mergeCell ref="A112:AD112"/>
    <mergeCell ref="H120:H122"/>
    <mergeCell ref="I120:I122"/>
    <mergeCell ref="J120:L120"/>
    <mergeCell ref="M120:Y120"/>
    <mergeCell ref="Z120:Z122"/>
    <mergeCell ref="J121:J122"/>
    <mergeCell ref="K121:K122"/>
    <mergeCell ref="L121:L122"/>
    <mergeCell ref="G99:G102"/>
    <mergeCell ref="M101:Y101"/>
    <mergeCell ref="AT103:AX108"/>
    <mergeCell ref="AF121:AR121"/>
    <mergeCell ref="AF120:AR120"/>
    <mergeCell ref="AA120:AE122"/>
    <mergeCell ref="AS120:AS122"/>
    <mergeCell ref="AT120:AX122"/>
    <mergeCell ref="AA103:AE108"/>
  </mergeCells>
  <hyperlinks>
    <hyperlink ref="A31:O31" location="'Hoja 11. TABLA DE CONTROL'!B51" display="'Hoja 11. TABLA DE CONTROL'!B51" xr:uid="{00000000-0004-0000-3E00-000000000000}"/>
    <hyperlink ref="D9:D11" location="'Hoja 8. RI'!A31" display="PORCENTAJE  (%) DE ENCUESTAS DE SATISFACCIÓN  DEL SERVICIO PRESTADO POR EL PROCESO DE GESTIÓN DE RECURSOS E INFRAESTRUCTURA (ALMACÉN, CONTRATACIÓN, SISTEMAS), CALIFICADAS POR PARTE DE LOS FUNCIONARIOS CON UNA NOTA IGUAL O SUPERIOR A TRES PUNTO CINCO (3.5)" xr:uid="{00000000-0004-0000-3E00-000001000000}"/>
    <hyperlink ref="A55:AE55" location="'Hoja 11. TABLA DE CONTROL'!B52" display="'Hoja 11. TABLA DE CONTROL'!B52" xr:uid="{00000000-0004-0000-3E00-000002000000}"/>
    <hyperlink ref="A92:AE92" location="'Hoja 11. TABLA DE CONTROL'!B53" display="'Hoja 11. TABLA DE CONTROL'!B53" xr:uid="{00000000-0004-0000-3E00-000003000000}"/>
    <hyperlink ref="D12:D14" location="'Hoja 8. RI'!A55" display="PORCENTAJE (%) DE DISMINUCIÓN DE CONSUMO DE PAPEL." xr:uid="{00000000-0004-0000-3E00-000004000000}"/>
    <hyperlink ref="D15:D17" location="'Hoja 8. RI'!A92" display="PORCENTAJE (%) DE DISMINUCIÓN DE CONSUMO DE AGUA." xr:uid="{00000000-0004-0000-3E00-000005000000}"/>
    <hyperlink ref="A112:AD112" location="'Hoja 11. TABLA DE CONTROL'!B54" display="'Hoja 11. TABLA DE CONTROL'!B54" xr:uid="{00000000-0004-0000-3E00-000006000000}"/>
    <hyperlink ref="D18:D20" location="'Hoja 8. RI'!A112" display="PORCENTAJE (%)  DE DISMINUCIÓN DE CONSUMO DE ENERGÍA." xr:uid="{00000000-0004-0000-3E00-000007000000}"/>
    <hyperlink ref="A128:O128" location="'Hoja 11. TABLA DE CONTROL'!B55" display="'Hoja 11. TABLA DE CONTROL'!B55" xr:uid="{00000000-0004-0000-3E00-000008000000}"/>
    <hyperlink ref="A132:O132" location="'Hoja 11. TABLA DE CONTROL'!B56" display="'Hoja 11. TABLA DE CONTROL'!B56" xr:uid="{00000000-0004-0000-3E00-000009000000}"/>
    <hyperlink ref="D21:D23" location="'Hoja 8. RI'!A128" display="N° HERRAMIENTAS TECNOLÓGICAS FORTALECIDAS PARA MEJORA LA ADMINISTRACIÓN, SEGUIMIENTO Y CONTROL DE LOS CONTRATOS E INVENTARIOS DE LA INSTITUCIÓN" xr:uid="{00000000-0004-0000-3E00-00000A000000}"/>
    <hyperlink ref="D24:D26" location="'Hoja 8. RI'!A132" display="N° DE CAPACITACIONES A LOS COORDINADORES DE LOS PROYECTOS EN ESTUDIOS DE MERCADO (PLANEACIÓN), IDENTIFICACIÓN DE RIESGOS, MANUALES Y PROCEDIMIENTOS DE CONTRATACIÓN Y DE ALMACEN" xr:uid="{00000000-0004-0000-3E00-00000B000000}"/>
    <hyperlink ref="A136:O136" location="'Hoja 11. TABLA DE CONTROL'!B56" display="'Hoja 11. TABLA DE CONTROL'!B56" xr:uid="{00000000-0004-0000-3E00-00000C000000}"/>
    <hyperlink ref="D27:D29" location="'Hoja 8. RI'!A136" display="% INVENTARIO DE LA CORPORACIÓN ACTUALIZADO" xr:uid="{00000000-0004-0000-3E00-00000D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06
Hoja 8. Indicadores Proceso Gestión de Recursos e Infraestructura
Página &amp;P de &amp;N</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rgb="FF00B050"/>
  </sheetPr>
  <dimension ref="A1:AX130"/>
  <sheetViews>
    <sheetView showGridLines="0" topLeftCell="A80" zoomScale="70" zoomScaleNormal="70" workbookViewId="0">
      <selection activeCell="H128" sqref="H128:O128"/>
    </sheetView>
  </sheetViews>
  <sheetFormatPr baseColWidth="10" defaultColWidth="11.453125" defaultRowHeight="13.5" x14ac:dyDescent="0.25"/>
  <cols>
    <col min="1" max="2" width="24.08984375" style="2" customWidth="1"/>
    <col min="3" max="3" width="20.453125" style="2" customWidth="1"/>
    <col min="4" max="4" width="21.54296875" style="2" customWidth="1"/>
    <col min="5" max="5" width="21.36328125" style="2" customWidth="1"/>
    <col min="6" max="6" width="27" style="2" customWidth="1"/>
    <col min="7" max="7" width="22.453125" style="2" customWidth="1"/>
    <col min="8" max="8" width="37.90625" style="2" customWidth="1"/>
    <col min="9" max="9" width="30.08984375" style="2" customWidth="1"/>
    <col min="10" max="10" width="21.90625" style="2" customWidth="1"/>
    <col min="11" max="11" width="26.453125" style="2" customWidth="1"/>
    <col min="12" max="12" width="25.36328125" style="2" customWidth="1"/>
    <col min="13" max="13" width="52.453125" style="2" customWidth="1"/>
    <col min="14" max="27" width="24" style="2" customWidth="1"/>
    <col min="28" max="43" width="11.453125" style="2"/>
    <col min="44" max="44" width="14.08984375" style="2" customWidth="1"/>
    <col min="45" max="45" width="27" style="2" customWidth="1"/>
    <col min="46" max="16384" width="11.453125" style="2"/>
  </cols>
  <sheetData>
    <row r="1" spans="1:15" ht="30.5" x14ac:dyDescent="0.25">
      <c r="A1" s="744"/>
      <c r="B1" s="744"/>
      <c r="C1" s="744"/>
      <c r="D1" s="744"/>
      <c r="E1" s="9"/>
      <c r="F1" s="9"/>
      <c r="G1" s="9"/>
      <c r="H1" s="9"/>
      <c r="I1" s="9"/>
      <c r="J1" s="9"/>
      <c r="K1" s="9"/>
      <c r="L1" s="9"/>
      <c r="M1" s="9"/>
      <c r="N1" s="9"/>
      <c r="O1" s="9"/>
    </row>
    <row r="2" spans="1:15" ht="17.5" x14ac:dyDescent="0.25">
      <c r="A2" s="1172" t="s">
        <v>24</v>
      </c>
      <c r="B2" s="1173"/>
      <c r="C2" s="1173"/>
      <c r="D2" s="1173"/>
      <c r="E2" s="1173"/>
      <c r="F2" s="1173"/>
      <c r="G2" s="1173"/>
      <c r="H2" s="1173"/>
      <c r="I2" s="1173"/>
      <c r="J2" s="1173"/>
      <c r="K2" s="1173"/>
      <c r="L2" s="1173"/>
      <c r="M2" s="1173"/>
      <c r="N2" s="1173"/>
      <c r="O2" s="1174"/>
    </row>
    <row r="4" spans="1:15" s="4" customFormat="1" ht="15" x14ac:dyDescent="0.35">
      <c r="A4" s="1175" t="s">
        <v>0</v>
      </c>
      <c r="B4" s="1175"/>
      <c r="C4" s="1175" t="s">
        <v>26</v>
      </c>
      <c r="D4" s="1175" t="s">
        <v>1</v>
      </c>
      <c r="E4" s="1175" t="s">
        <v>2</v>
      </c>
      <c r="F4" s="1175" t="s">
        <v>3</v>
      </c>
      <c r="G4" s="1175" t="s">
        <v>33</v>
      </c>
      <c r="H4" s="1175"/>
      <c r="I4" s="1175"/>
      <c r="J4" s="1176" t="s">
        <v>4</v>
      </c>
      <c r="K4" s="1176" t="s">
        <v>5</v>
      </c>
      <c r="L4" s="1178" t="s">
        <v>49</v>
      </c>
      <c r="M4" s="1179"/>
      <c r="N4" s="1176" t="s">
        <v>6</v>
      </c>
      <c r="O4" s="1176" t="s">
        <v>7</v>
      </c>
    </row>
    <row r="5" spans="1:15" s="4" customFormat="1" ht="30" x14ac:dyDescent="0.35">
      <c r="A5" s="1175"/>
      <c r="B5" s="1175"/>
      <c r="C5" s="1175"/>
      <c r="D5" s="1175"/>
      <c r="E5" s="1175"/>
      <c r="F5" s="1175"/>
      <c r="G5" s="21" t="s">
        <v>31</v>
      </c>
      <c r="H5" s="21" t="s">
        <v>32</v>
      </c>
      <c r="I5" s="21" t="s">
        <v>43</v>
      </c>
      <c r="J5" s="1177"/>
      <c r="K5" s="1177"/>
      <c r="L5" s="21" t="s">
        <v>47</v>
      </c>
      <c r="M5" s="21" t="s">
        <v>48</v>
      </c>
      <c r="N5" s="1177"/>
      <c r="O5" s="1177"/>
    </row>
    <row r="6" spans="1:15" s="4" customFormat="1" ht="54" x14ac:dyDescent="0.35">
      <c r="A6" s="1175"/>
      <c r="B6" s="1175"/>
      <c r="C6" s="1175"/>
      <c r="D6" s="1175"/>
      <c r="E6" s="1175"/>
      <c r="F6" s="1175"/>
      <c r="G6" s="14" t="s">
        <v>35</v>
      </c>
      <c r="H6" s="15" t="s">
        <v>37</v>
      </c>
      <c r="I6" s="14" t="s">
        <v>40</v>
      </c>
      <c r="J6" s="1177"/>
      <c r="K6" s="1177"/>
      <c r="L6" s="11" t="s">
        <v>44</v>
      </c>
      <c r="M6" s="15" t="s">
        <v>52</v>
      </c>
      <c r="N6" s="1177"/>
      <c r="O6" s="1177"/>
    </row>
    <row r="7" spans="1:15" s="4" customFormat="1" ht="54" x14ac:dyDescent="0.35">
      <c r="A7" s="1175"/>
      <c r="B7" s="1175"/>
      <c r="C7" s="1175"/>
      <c r="D7" s="1175"/>
      <c r="E7" s="1175"/>
      <c r="F7" s="1175"/>
      <c r="G7" s="14" t="s">
        <v>34</v>
      </c>
      <c r="H7" s="15" t="s">
        <v>38</v>
      </c>
      <c r="I7" s="14" t="s">
        <v>41</v>
      </c>
      <c r="J7" s="1177"/>
      <c r="K7" s="1177"/>
      <c r="L7" s="10" t="s">
        <v>45</v>
      </c>
      <c r="M7" s="15" t="s">
        <v>50</v>
      </c>
      <c r="N7" s="1177"/>
      <c r="O7" s="1177"/>
    </row>
    <row r="8" spans="1:15" s="4" customFormat="1" ht="40.5" x14ac:dyDescent="0.35">
      <c r="A8" s="1175"/>
      <c r="B8" s="1175"/>
      <c r="C8" s="1176"/>
      <c r="D8" s="1176"/>
      <c r="E8" s="1176"/>
      <c r="F8" s="1176"/>
      <c r="G8" s="109" t="s">
        <v>36</v>
      </c>
      <c r="H8" s="96" t="s">
        <v>39</v>
      </c>
      <c r="I8" s="109" t="s">
        <v>42</v>
      </c>
      <c r="J8" s="1177"/>
      <c r="K8" s="1177"/>
      <c r="L8" s="42" t="s">
        <v>46</v>
      </c>
      <c r="M8" s="96" t="s">
        <v>51</v>
      </c>
      <c r="N8" s="1177"/>
      <c r="O8" s="1177"/>
    </row>
    <row r="9" spans="1:15" ht="120.75" customHeight="1" x14ac:dyDescent="0.25">
      <c r="A9" s="1045" t="s">
        <v>377</v>
      </c>
      <c r="B9" s="1252"/>
      <c r="C9" s="829" t="s">
        <v>53</v>
      </c>
      <c r="D9" s="1236" t="s">
        <v>378</v>
      </c>
      <c r="E9" s="829" t="s">
        <v>379</v>
      </c>
      <c r="F9" s="829" t="s">
        <v>380</v>
      </c>
      <c r="G9" s="829" t="s">
        <v>34</v>
      </c>
      <c r="H9" s="829"/>
      <c r="I9" s="829"/>
      <c r="J9" s="829" t="s">
        <v>63</v>
      </c>
      <c r="K9" s="849" t="s">
        <v>65</v>
      </c>
      <c r="L9" s="110" t="s">
        <v>44</v>
      </c>
      <c r="M9" s="71" t="s">
        <v>65</v>
      </c>
      <c r="N9" s="829" t="s">
        <v>228</v>
      </c>
      <c r="O9" s="829" t="s">
        <v>98</v>
      </c>
    </row>
    <row r="10" spans="1:15" ht="120.75" customHeight="1" x14ac:dyDescent="0.25">
      <c r="A10" s="1045"/>
      <c r="B10" s="1252"/>
      <c r="C10" s="829"/>
      <c r="D10" s="1237"/>
      <c r="E10" s="829"/>
      <c r="F10" s="829"/>
      <c r="G10" s="829"/>
      <c r="H10" s="829"/>
      <c r="I10" s="829"/>
      <c r="J10" s="829"/>
      <c r="K10" s="849"/>
      <c r="L10" s="110" t="s">
        <v>45</v>
      </c>
      <c r="M10" s="24" t="s">
        <v>66</v>
      </c>
      <c r="N10" s="829"/>
      <c r="O10" s="829"/>
    </row>
    <row r="11" spans="1:15" ht="120.75" customHeight="1" x14ac:dyDescent="0.25">
      <c r="A11" s="1045"/>
      <c r="B11" s="1252"/>
      <c r="C11" s="829"/>
      <c r="D11" s="1238"/>
      <c r="E11" s="829"/>
      <c r="F11" s="829"/>
      <c r="G11" s="829"/>
      <c r="H11" s="829"/>
      <c r="I11" s="829"/>
      <c r="J11" s="829"/>
      <c r="K11" s="850"/>
      <c r="L11" s="111" t="s">
        <v>46</v>
      </c>
      <c r="M11" s="25" t="s">
        <v>61</v>
      </c>
      <c r="N11" s="829"/>
      <c r="O11" s="829"/>
    </row>
    <row r="12" spans="1:15" ht="42" customHeight="1" x14ac:dyDescent="0.25">
      <c r="A12" s="1045"/>
      <c r="B12" s="1252"/>
      <c r="C12" s="829" t="s">
        <v>110</v>
      </c>
      <c r="D12" s="1236" t="s">
        <v>381</v>
      </c>
      <c r="E12" s="829" t="s">
        <v>382</v>
      </c>
      <c r="F12" s="829" t="s">
        <v>383</v>
      </c>
      <c r="G12" s="829" t="s">
        <v>35</v>
      </c>
      <c r="H12" s="829"/>
      <c r="I12" s="829"/>
      <c r="J12" s="829" t="s">
        <v>384</v>
      </c>
      <c r="K12" s="1243" t="s">
        <v>385</v>
      </c>
      <c r="L12" s="110" t="s">
        <v>44</v>
      </c>
      <c r="M12" s="23" t="s">
        <v>386</v>
      </c>
      <c r="N12" s="829" t="s">
        <v>228</v>
      </c>
      <c r="O12" s="829" t="s">
        <v>98</v>
      </c>
    </row>
    <row r="13" spans="1:15" ht="42" customHeight="1" x14ac:dyDescent="0.25">
      <c r="A13" s="1045"/>
      <c r="B13" s="1252"/>
      <c r="C13" s="829"/>
      <c r="D13" s="1237"/>
      <c r="E13" s="829"/>
      <c r="F13" s="829"/>
      <c r="G13" s="829"/>
      <c r="H13" s="829"/>
      <c r="I13" s="829"/>
      <c r="J13" s="829"/>
      <c r="K13" s="1244"/>
      <c r="L13" s="110" t="s">
        <v>45</v>
      </c>
      <c r="M13" s="24" t="s">
        <v>387</v>
      </c>
      <c r="N13" s="829"/>
      <c r="O13" s="829"/>
    </row>
    <row r="14" spans="1:15" ht="42" customHeight="1" x14ac:dyDescent="0.25">
      <c r="A14" s="1045"/>
      <c r="B14" s="1252"/>
      <c r="C14" s="829"/>
      <c r="D14" s="1238"/>
      <c r="E14" s="829"/>
      <c r="F14" s="829"/>
      <c r="G14" s="829"/>
      <c r="H14" s="829"/>
      <c r="I14" s="829"/>
      <c r="J14" s="829"/>
      <c r="K14" s="1245"/>
      <c r="L14" s="110" t="s">
        <v>46</v>
      </c>
      <c r="M14" s="25" t="s">
        <v>388</v>
      </c>
      <c r="N14" s="829"/>
      <c r="O14" s="829"/>
    </row>
    <row r="15" spans="1:15" ht="38.25" customHeight="1" x14ac:dyDescent="0.25">
      <c r="A15" s="1045"/>
      <c r="B15" s="1252"/>
      <c r="C15" s="829" t="s">
        <v>110</v>
      </c>
      <c r="D15" s="1236" t="s">
        <v>389</v>
      </c>
      <c r="E15" s="829" t="s">
        <v>390</v>
      </c>
      <c r="F15" s="829" t="s">
        <v>391</v>
      </c>
      <c r="G15" s="829" t="s">
        <v>35</v>
      </c>
      <c r="H15" s="829"/>
      <c r="I15" s="829"/>
      <c r="J15" s="829" t="s">
        <v>384</v>
      </c>
      <c r="K15" s="1243" t="s">
        <v>392</v>
      </c>
      <c r="L15" s="110" t="s">
        <v>44</v>
      </c>
      <c r="M15" s="23" t="s">
        <v>393</v>
      </c>
      <c r="N15" s="829" t="s">
        <v>228</v>
      </c>
      <c r="O15" s="829" t="s">
        <v>98</v>
      </c>
    </row>
    <row r="16" spans="1:15" ht="38.25" customHeight="1" x14ac:dyDescent="0.25">
      <c r="A16" s="1045"/>
      <c r="B16" s="1252"/>
      <c r="C16" s="829"/>
      <c r="D16" s="1237"/>
      <c r="E16" s="829"/>
      <c r="F16" s="829"/>
      <c r="G16" s="829"/>
      <c r="H16" s="829"/>
      <c r="I16" s="829"/>
      <c r="J16" s="829"/>
      <c r="K16" s="1244"/>
      <c r="L16" s="110" t="s">
        <v>45</v>
      </c>
      <c r="M16" s="24" t="s">
        <v>394</v>
      </c>
      <c r="N16" s="829"/>
      <c r="O16" s="829"/>
    </row>
    <row r="17" spans="1:15" ht="38.25" customHeight="1" x14ac:dyDescent="0.25">
      <c r="A17" s="1045"/>
      <c r="B17" s="1252"/>
      <c r="C17" s="829"/>
      <c r="D17" s="1238"/>
      <c r="E17" s="829"/>
      <c r="F17" s="829"/>
      <c r="G17" s="829"/>
      <c r="H17" s="829"/>
      <c r="I17" s="829"/>
      <c r="J17" s="829"/>
      <c r="K17" s="1245"/>
      <c r="L17" s="110" t="s">
        <v>46</v>
      </c>
      <c r="M17" s="25" t="s">
        <v>388</v>
      </c>
      <c r="N17" s="829"/>
      <c r="O17" s="829"/>
    </row>
    <row r="18" spans="1:15" ht="36" customHeight="1" x14ac:dyDescent="0.25">
      <c r="A18" s="1045"/>
      <c r="B18" s="1252"/>
      <c r="C18" s="829" t="s">
        <v>110</v>
      </c>
      <c r="D18" s="1236" t="s">
        <v>395</v>
      </c>
      <c r="E18" s="829" t="s">
        <v>396</v>
      </c>
      <c r="F18" s="829" t="s">
        <v>397</v>
      </c>
      <c r="G18" s="829" t="s">
        <v>35</v>
      </c>
      <c r="H18" s="829"/>
      <c r="I18" s="829"/>
      <c r="J18" s="829" t="s">
        <v>384</v>
      </c>
      <c r="K18" s="1243" t="s">
        <v>392</v>
      </c>
      <c r="L18" s="110" t="s">
        <v>44</v>
      </c>
      <c r="M18" s="23" t="s">
        <v>393</v>
      </c>
      <c r="N18" s="829" t="s">
        <v>228</v>
      </c>
      <c r="O18" s="829" t="s">
        <v>98</v>
      </c>
    </row>
    <row r="19" spans="1:15" ht="36" customHeight="1" x14ac:dyDescent="0.25">
      <c r="A19" s="1045"/>
      <c r="B19" s="1252"/>
      <c r="C19" s="829"/>
      <c r="D19" s="1237"/>
      <c r="E19" s="829"/>
      <c r="F19" s="829"/>
      <c r="G19" s="829"/>
      <c r="H19" s="829"/>
      <c r="I19" s="829"/>
      <c r="J19" s="829"/>
      <c r="K19" s="1244"/>
      <c r="L19" s="110" t="s">
        <v>45</v>
      </c>
      <c r="M19" s="24" t="s">
        <v>394</v>
      </c>
      <c r="N19" s="829"/>
      <c r="O19" s="829"/>
    </row>
    <row r="20" spans="1:15" ht="36" customHeight="1" x14ac:dyDescent="0.25">
      <c r="A20" s="1045"/>
      <c r="B20" s="1252"/>
      <c r="C20" s="829"/>
      <c r="D20" s="1238"/>
      <c r="E20" s="829"/>
      <c r="F20" s="829"/>
      <c r="G20" s="829"/>
      <c r="H20" s="829"/>
      <c r="I20" s="829"/>
      <c r="J20" s="829"/>
      <c r="K20" s="1245"/>
      <c r="L20" s="112" t="s">
        <v>46</v>
      </c>
      <c r="M20" s="25" t="s">
        <v>388</v>
      </c>
      <c r="N20" s="829"/>
      <c r="O20" s="829"/>
    </row>
    <row r="21" spans="1:15" ht="59.25" customHeight="1" x14ac:dyDescent="0.25">
      <c r="A21" s="1045"/>
      <c r="B21" s="1045"/>
      <c r="C21" s="1242" t="s">
        <v>67</v>
      </c>
      <c r="D21" s="1046" t="s">
        <v>398</v>
      </c>
      <c r="E21" s="1051" t="s">
        <v>399</v>
      </c>
      <c r="F21" s="1049" t="s">
        <v>400</v>
      </c>
      <c r="G21" s="829" t="s">
        <v>34</v>
      </c>
      <c r="H21" s="829"/>
      <c r="I21" s="829"/>
      <c r="J21" s="1049" t="s">
        <v>63</v>
      </c>
      <c r="K21" s="1243" t="s">
        <v>401</v>
      </c>
      <c r="L21" s="110" t="s">
        <v>44</v>
      </c>
      <c r="M21" s="23" t="s">
        <v>401</v>
      </c>
      <c r="N21" s="829" t="s">
        <v>228</v>
      </c>
      <c r="O21" s="829" t="s">
        <v>98</v>
      </c>
    </row>
    <row r="22" spans="1:15" ht="59.25" customHeight="1" x14ac:dyDescent="0.25">
      <c r="A22" s="1045"/>
      <c r="B22" s="1045"/>
      <c r="C22" s="829"/>
      <c r="D22" s="1047"/>
      <c r="E22" s="852"/>
      <c r="F22" s="1050"/>
      <c r="G22" s="829"/>
      <c r="H22" s="829"/>
      <c r="I22" s="829"/>
      <c r="J22" s="1050"/>
      <c r="K22" s="1244"/>
      <c r="L22" s="110" t="s">
        <v>45</v>
      </c>
      <c r="M22" s="24" t="s">
        <v>402</v>
      </c>
      <c r="N22" s="829"/>
      <c r="O22" s="829"/>
    </row>
    <row r="23" spans="1:15" ht="59.25" customHeight="1" x14ac:dyDescent="0.25">
      <c r="A23" s="1045"/>
      <c r="B23" s="1045"/>
      <c r="C23" s="829"/>
      <c r="D23" s="1048"/>
      <c r="E23" s="852"/>
      <c r="F23" s="1051"/>
      <c r="G23" s="829"/>
      <c r="H23" s="829"/>
      <c r="I23" s="829"/>
      <c r="J23" s="1051"/>
      <c r="K23" s="1245"/>
      <c r="L23" s="112" t="s">
        <v>46</v>
      </c>
      <c r="M23" s="25" t="s">
        <v>403</v>
      </c>
      <c r="N23" s="829"/>
      <c r="O23" s="829"/>
    </row>
    <row r="24" spans="1:15" ht="100.5" customHeight="1" x14ac:dyDescent="0.25">
      <c r="A24" s="1045"/>
      <c r="B24" s="1045"/>
      <c r="C24" s="829" t="s">
        <v>67</v>
      </c>
      <c r="D24" s="1046" t="s">
        <v>404</v>
      </c>
      <c r="E24" s="839" t="s">
        <v>405</v>
      </c>
      <c r="F24" s="1049" t="s">
        <v>406</v>
      </c>
      <c r="G24" s="829" t="s">
        <v>34</v>
      </c>
      <c r="H24" s="829"/>
      <c r="I24" s="829"/>
      <c r="J24" s="1049" t="s">
        <v>63</v>
      </c>
      <c r="K24" s="848" t="s">
        <v>407</v>
      </c>
      <c r="L24" s="110" t="s">
        <v>44</v>
      </c>
      <c r="M24" s="23" t="s">
        <v>408</v>
      </c>
      <c r="N24" s="829" t="s">
        <v>228</v>
      </c>
      <c r="O24" s="829" t="s">
        <v>172</v>
      </c>
    </row>
    <row r="25" spans="1:15" ht="100.5" customHeight="1" x14ac:dyDescent="0.25">
      <c r="A25" s="1045"/>
      <c r="B25" s="1045"/>
      <c r="C25" s="829"/>
      <c r="D25" s="1048"/>
      <c r="E25" s="839"/>
      <c r="F25" s="1051"/>
      <c r="G25" s="829"/>
      <c r="H25" s="829"/>
      <c r="I25" s="829"/>
      <c r="J25" s="1051"/>
      <c r="K25" s="850"/>
      <c r="L25" s="112" t="s">
        <v>46</v>
      </c>
      <c r="M25" s="25" t="s">
        <v>409</v>
      </c>
      <c r="N25" s="829"/>
      <c r="O25" s="829"/>
    </row>
    <row r="26" spans="1:15" x14ac:dyDescent="0.25">
      <c r="A26" s="3"/>
      <c r="B26" s="3"/>
    </row>
    <row r="27" spans="1:15" ht="43.5" customHeight="1" x14ac:dyDescent="0.25">
      <c r="A27" s="1233" t="str">
        <f>+D9</f>
        <v>PORCENTAJE  (%) DE ENCUESTAS DE SATISFACCIÓN  DEL SERVICIO PRESTADO POR EL PROCESO DE GESTIÓN DE RECURSOS E INFRAESTRUCTURA (ALMACÉN, CONTRATACIÓN, SISTEMAS), CALIFICADAS POR PARTE DE LOS FUNCIONARIOS CON UNA NOTA IGUAL O SUPERIOR A TRES PUNTO CINCO (3.5)</v>
      </c>
      <c r="B27" s="1234"/>
      <c r="C27" s="1234"/>
      <c r="D27" s="1234"/>
      <c r="E27" s="1234"/>
      <c r="F27" s="1234"/>
      <c r="G27" s="1234"/>
      <c r="H27" s="1234"/>
      <c r="I27" s="1234"/>
      <c r="J27" s="1234"/>
      <c r="K27" s="1234"/>
      <c r="L27" s="1234"/>
      <c r="M27" s="1234"/>
      <c r="N27" s="1234"/>
      <c r="O27" s="1235"/>
    </row>
    <row r="28" spans="1:15" x14ac:dyDescent="0.25">
      <c r="A28" s="5"/>
    </row>
    <row r="29" spans="1:15" ht="54.75" customHeight="1" x14ac:dyDescent="0.25">
      <c r="A29" s="26"/>
      <c r="G29" s="39">
        <v>2009</v>
      </c>
      <c r="H29" s="39">
        <v>2010</v>
      </c>
      <c r="I29" s="39">
        <v>2011</v>
      </c>
      <c r="J29" s="39">
        <v>2012</v>
      </c>
      <c r="K29" s="39">
        <v>2013</v>
      </c>
      <c r="L29" s="39">
        <v>2014</v>
      </c>
      <c r="M29" s="39">
        <v>2015</v>
      </c>
    </row>
    <row r="30" spans="1:15" ht="69.75" customHeight="1" x14ac:dyDescent="0.25">
      <c r="A30" s="856" t="s">
        <v>410</v>
      </c>
      <c r="B30" s="857"/>
      <c r="C30" s="857"/>
      <c r="D30" s="857"/>
      <c r="E30" s="857"/>
      <c r="F30" s="857"/>
      <c r="G30" s="113">
        <v>0.89</v>
      </c>
      <c r="H30" s="113">
        <v>0.84</v>
      </c>
      <c r="I30" s="113">
        <v>0.87</v>
      </c>
      <c r="J30" s="113">
        <v>0.67</v>
      </c>
      <c r="K30" s="113">
        <v>0.85</v>
      </c>
      <c r="L30" s="113">
        <v>0.8</v>
      </c>
      <c r="M30" s="113">
        <f>+K45</f>
        <v>0.87804878048780488</v>
      </c>
    </row>
    <row r="31" spans="1:15" ht="51" customHeight="1" x14ac:dyDescent="0.25">
      <c r="A31" s="856" t="s">
        <v>76</v>
      </c>
      <c r="B31" s="857"/>
      <c r="C31" s="857"/>
      <c r="D31" s="857"/>
      <c r="E31" s="857"/>
      <c r="F31" s="857"/>
      <c r="G31" s="113">
        <v>0.9</v>
      </c>
      <c r="H31" s="113">
        <v>0.9</v>
      </c>
      <c r="I31" s="113">
        <v>0.9</v>
      </c>
      <c r="J31" s="113">
        <v>0.9</v>
      </c>
      <c r="K31" s="113">
        <v>0.9</v>
      </c>
      <c r="L31" s="113">
        <v>0.9</v>
      </c>
      <c r="M31" s="113">
        <v>0.9</v>
      </c>
    </row>
    <row r="32" spans="1:15" x14ac:dyDescent="0.25">
      <c r="A32" s="5"/>
    </row>
    <row r="33" spans="1:15" ht="41.25" customHeight="1" x14ac:dyDescent="0.25">
      <c r="A33" s="5"/>
      <c r="B33" s="28"/>
      <c r="C33" s="28"/>
      <c r="D33" s="28"/>
      <c r="G33" s="1165" t="s">
        <v>77</v>
      </c>
      <c r="H33" s="1165"/>
      <c r="I33" s="1165" t="s">
        <v>78</v>
      </c>
      <c r="J33" s="1165"/>
      <c r="K33" s="1165"/>
      <c r="L33" s="1165" t="s">
        <v>79</v>
      </c>
      <c r="M33" s="1165"/>
      <c r="N33" s="1165"/>
      <c r="O33" s="1165"/>
    </row>
    <row r="34" spans="1:15" ht="377.25" customHeight="1" x14ac:dyDescent="0.25">
      <c r="A34" s="5"/>
      <c r="G34" s="1165"/>
      <c r="H34" s="1165"/>
      <c r="I34" s="98" t="s">
        <v>411</v>
      </c>
      <c r="J34" s="98" t="s">
        <v>412</v>
      </c>
      <c r="K34" s="98" t="s">
        <v>410</v>
      </c>
      <c r="L34" s="1165"/>
      <c r="M34" s="1165"/>
      <c r="N34" s="1165"/>
      <c r="O34" s="1165"/>
    </row>
    <row r="35" spans="1:15" ht="41.25" customHeight="1" x14ac:dyDescent="0.3">
      <c r="B35" s="29"/>
      <c r="C35" s="30"/>
      <c r="D35" s="30"/>
      <c r="G35" s="859">
        <v>2009</v>
      </c>
      <c r="H35" s="859"/>
      <c r="I35" s="45">
        <v>40</v>
      </c>
      <c r="J35" s="45">
        <v>45</v>
      </c>
      <c r="K35" s="60">
        <f t="shared" ref="K35:K42" si="0">+I35/J35</f>
        <v>0.88888888888888884</v>
      </c>
      <c r="L35" s="873" t="s">
        <v>413</v>
      </c>
      <c r="M35" s="873"/>
      <c r="N35" s="873"/>
      <c r="O35" s="873"/>
    </row>
    <row r="36" spans="1:15" ht="41.25" customHeight="1" x14ac:dyDescent="0.3">
      <c r="B36" s="29"/>
      <c r="C36" s="30"/>
      <c r="D36" s="30"/>
      <c r="G36" s="859">
        <v>2010</v>
      </c>
      <c r="H36" s="859"/>
      <c r="I36" s="45">
        <v>36</v>
      </c>
      <c r="J36" s="45">
        <v>43</v>
      </c>
      <c r="K36" s="60">
        <f t="shared" si="0"/>
        <v>0.83720930232558144</v>
      </c>
      <c r="L36" s="873" t="s">
        <v>413</v>
      </c>
      <c r="M36" s="873"/>
      <c r="N36" s="873"/>
      <c r="O36" s="873"/>
    </row>
    <row r="37" spans="1:15" ht="39" customHeight="1" x14ac:dyDescent="0.3">
      <c r="B37" s="29"/>
      <c r="C37" s="30"/>
      <c r="D37" s="30"/>
      <c r="G37" s="859">
        <v>2011</v>
      </c>
      <c r="H37" s="859"/>
      <c r="I37" s="45">
        <v>33</v>
      </c>
      <c r="J37" s="45">
        <v>38</v>
      </c>
      <c r="K37" s="60">
        <f t="shared" si="0"/>
        <v>0.86842105263157898</v>
      </c>
      <c r="L37" s="873" t="s">
        <v>413</v>
      </c>
      <c r="M37" s="873"/>
      <c r="N37" s="873"/>
      <c r="O37" s="873"/>
    </row>
    <row r="38" spans="1:15" ht="39" customHeight="1" x14ac:dyDescent="0.3">
      <c r="B38" s="29"/>
      <c r="C38" s="30"/>
      <c r="D38" s="30"/>
      <c r="G38" s="859">
        <v>2012</v>
      </c>
      <c r="H38" s="859"/>
      <c r="I38" s="45">
        <v>41</v>
      </c>
      <c r="J38" s="45">
        <v>61</v>
      </c>
      <c r="K38" s="60">
        <f t="shared" si="0"/>
        <v>0.67213114754098358</v>
      </c>
      <c r="L38" s="873" t="s">
        <v>413</v>
      </c>
      <c r="M38" s="873"/>
      <c r="N38" s="873"/>
      <c r="O38" s="873"/>
    </row>
    <row r="39" spans="1:15" ht="254.25" customHeight="1" x14ac:dyDescent="0.3">
      <c r="B39" s="29"/>
      <c r="C39" s="30"/>
      <c r="D39" s="30"/>
      <c r="G39" s="859">
        <v>2013</v>
      </c>
      <c r="H39" s="859"/>
      <c r="I39" s="45">
        <v>57</v>
      </c>
      <c r="J39" s="45">
        <v>67</v>
      </c>
      <c r="K39" s="60">
        <f t="shared" si="0"/>
        <v>0.85074626865671643</v>
      </c>
      <c r="L39" s="874" t="s">
        <v>526</v>
      </c>
      <c r="M39" s="875"/>
      <c r="N39" s="875"/>
      <c r="O39" s="876"/>
    </row>
    <row r="40" spans="1:15" ht="231.75" customHeight="1" x14ac:dyDescent="0.3">
      <c r="B40" s="29"/>
      <c r="C40" s="30"/>
      <c r="D40" s="30"/>
      <c r="G40" s="859">
        <v>2014</v>
      </c>
      <c r="H40" s="45" t="s">
        <v>141</v>
      </c>
      <c r="I40" s="45">
        <v>40</v>
      </c>
      <c r="J40" s="45">
        <v>50</v>
      </c>
      <c r="K40" s="60">
        <f t="shared" si="0"/>
        <v>0.8</v>
      </c>
      <c r="L40" s="993" t="s">
        <v>547</v>
      </c>
      <c r="M40" s="994"/>
      <c r="N40" s="994"/>
      <c r="O40" s="995"/>
    </row>
    <row r="41" spans="1:15" ht="56.25" customHeight="1" x14ac:dyDescent="0.3">
      <c r="B41" s="29"/>
      <c r="C41" s="30"/>
      <c r="D41" s="30"/>
      <c r="G41" s="859"/>
      <c r="H41" s="45" t="s">
        <v>142</v>
      </c>
      <c r="I41" s="45">
        <v>60</v>
      </c>
      <c r="J41" s="45">
        <v>75</v>
      </c>
      <c r="K41" s="60">
        <f t="shared" si="0"/>
        <v>0.8</v>
      </c>
      <c r="L41" s="996" t="s">
        <v>810</v>
      </c>
      <c r="M41" s="996"/>
      <c r="N41" s="996"/>
      <c r="O41" s="996"/>
    </row>
    <row r="42" spans="1:15" ht="59.25" customHeight="1" x14ac:dyDescent="0.3">
      <c r="B42" s="29"/>
      <c r="C42" s="30"/>
      <c r="D42" s="30"/>
      <c r="G42" s="859"/>
      <c r="H42" s="45" t="s">
        <v>81</v>
      </c>
      <c r="I42" s="45">
        <f>SUM(I40:I41)</f>
        <v>100</v>
      </c>
      <c r="J42" s="45">
        <f>SUM(J40:J41)</f>
        <v>125</v>
      </c>
      <c r="K42" s="60">
        <f t="shared" si="0"/>
        <v>0.8</v>
      </c>
      <c r="L42" s="1016"/>
      <c r="M42" s="1016"/>
      <c r="N42" s="1016"/>
      <c r="O42" s="1024"/>
    </row>
    <row r="43" spans="1:15" ht="322.5" customHeight="1" x14ac:dyDescent="0.3">
      <c r="B43" s="29"/>
      <c r="C43" s="30"/>
      <c r="D43" s="30"/>
      <c r="G43" s="859">
        <v>2015</v>
      </c>
      <c r="H43" s="45" t="s">
        <v>141</v>
      </c>
      <c r="I43" s="45">
        <v>36</v>
      </c>
      <c r="J43" s="45">
        <v>41</v>
      </c>
      <c r="K43" s="60">
        <f>+I43/J43</f>
        <v>0.87804878048780488</v>
      </c>
      <c r="L43" s="1228" t="s">
        <v>809</v>
      </c>
      <c r="M43" s="1229"/>
      <c r="N43" s="1229"/>
      <c r="O43" s="1230"/>
    </row>
    <row r="44" spans="1:15" ht="36" customHeight="1" x14ac:dyDescent="0.3">
      <c r="B44" s="29"/>
      <c r="C44" s="30"/>
      <c r="D44" s="30"/>
      <c r="G44" s="859"/>
      <c r="H44" s="45" t="s">
        <v>142</v>
      </c>
      <c r="I44" s="45"/>
      <c r="J44" s="45"/>
      <c r="K44" s="60" t="e">
        <f>+I44/J44</f>
        <v>#DIV/0!</v>
      </c>
      <c r="L44" s="1247"/>
      <c r="M44" s="1247"/>
      <c r="N44" s="1247"/>
      <c r="O44" s="1247"/>
    </row>
    <row r="45" spans="1:15" ht="38.25" customHeight="1" x14ac:dyDescent="0.3">
      <c r="B45" s="29"/>
      <c r="C45" s="30"/>
      <c r="D45" s="30"/>
      <c r="G45" s="859"/>
      <c r="H45" s="45" t="s">
        <v>81</v>
      </c>
      <c r="I45" s="45">
        <f>SUM(I43:I44)</f>
        <v>36</v>
      </c>
      <c r="J45" s="45">
        <f>SUM(J43:J44)</f>
        <v>41</v>
      </c>
      <c r="K45" s="60">
        <f>+I45/J45</f>
        <v>0.87804878048780488</v>
      </c>
      <c r="L45" s="1016"/>
      <c r="M45" s="1016"/>
      <c r="N45" s="1016"/>
      <c r="O45" s="1024"/>
    </row>
    <row r="46" spans="1:15" ht="41.25" customHeight="1" x14ac:dyDescent="0.3">
      <c r="B46" s="29"/>
      <c r="C46" s="30"/>
      <c r="D46" s="30"/>
      <c r="G46" s="36"/>
      <c r="H46" s="216"/>
      <c r="I46" s="216"/>
      <c r="J46" s="216"/>
      <c r="K46" s="217"/>
      <c r="L46" s="217"/>
      <c r="M46" s="217"/>
      <c r="N46" s="217"/>
    </row>
    <row r="47" spans="1:15" ht="19.5" customHeight="1" x14ac:dyDescent="0.3">
      <c r="B47" s="29"/>
      <c r="C47" s="30"/>
      <c r="D47" s="30"/>
      <c r="G47" s="36"/>
      <c r="H47" s="216"/>
      <c r="I47" s="216"/>
      <c r="J47" s="216"/>
      <c r="K47" s="217"/>
      <c r="L47" s="217"/>
      <c r="M47" s="217"/>
      <c r="N47" s="217"/>
    </row>
    <row r="48" spans="1:15" ht="41.25" customHeight="1" x14ac:dyDescent="0.25"/>
    <row r="49" spans="1:49" ht="35.25" customHeight="1" x14ac:dyDescent="0.25">
      <c r="A49" s="1154" t="str">
        <f>+D12</f>
        <v>PORCENTAJE (%) DE DISMINUCIÓN DE CONSUMO DE PAPEL.</v>
      </c>
      <c r="B49" s="1155"/>
      <c r="C49" s="1155"/>
      <c r="D49" s="1155"/>
      <c r="E49" s="1155"/>
      <c r="F49" s="1155"/>
      <c r="G49" s="1155"/>
      <c r="H49" s="1155"/>
      <c r="I49" s="1155"/>
      <c r="J49" s="1155"/>
      <c r="K49" s="1155"/>
      <c r="L49" s="1155"/>
      <c r="M49" s="1155"/>
      <c r="N49" s="1155"/>
      <c r="O49" s="1155"/>
      <c r="P49" s="1155"/>
      <c r="Q49" s="1155"/>
      <c r="R49" s="1155"/>
      <c r="S49" s="1155"/>
      <c r="T49" s="1155"/>
      <c r="U49" s="1155"/>
      <c r="V49" s="1155"/>
      <c r="W49" s="1155"/>
      <c r="X49" s="1155"/>
      <c r="Y49" s="1155"/>
      <c r="Z49" s="1155"/>
      <c r="AA49" s="1155"/>
      <c r="AB49" s="1155"/>
      <c r="AC49" s="1155"/>
      <c r="AD49" s="1155"/>
      <c r="AE49" s="1156"/>
    </row>
    <row r="50" spans="1:49" ht="42.75" customHeight="1" x14ac:dyDescent="0.25">
      <c r="A50" s="5"/>
    </row>
    <row r="51" spans="1:49" ht="42.75" customHeight="1" x14ac:dyDescent="0.45">
      <c r="A51" s="26"/>
      <c r="G51" s="31">
        <v>2012</v>
      </c>
      <c r="H51" s="31">
        <v>2013</v>
      </c>
      <c r="I51" s="31">
        <v>2014</v>
      </c>
      <c r="J51" s="31">
        <v>2015</v>
      </c>
    </row>
    <row r="52" spans="1:49" ht="42.75" customHeight="1" x14ac:dyDescent="0.45">
      <c r="A52" s="856" t="s">
        <v>414</v>
      </c>
      <c r="B52" s="857"/>
      <c r="C52" s="857"/>
      <c r="D52" s="857"/>
      <c r="E52" s="857"/>
      <c r="F52" s="857"/>
      <c r="G52" s="32">
        <v>-0.44</v>
      </c>
      <c r="H52" s="32">
        <v>-0.12</v>
      </c>
      <c r="I52" s="32">
        <f>+AA83</f>
        <v>-7.1608040201004974E-2</v>
      </c>
      <c r="J52" s="32">
        <f>+AS83</f>
        <v>-0.28010825439783493</v>
      </c>
    </row>
    <row r="53" spans="1:49" ht="42.75" customHeight="1" x14ac:dyDescent="0.45">
      <c r="A53" s="856" t="s">
        <v>76</v>
      </c>
      <c r="B53" s="857"/>
      <c r="C53" s="857"/>
      <c r="D53" s="857"/>
      <c r="E53" s="857"/>
      <c r="F53" s="857"/>
      <c r="G53" s="32">
        <v>-0.02</v>
      </c>
      <c r="H53" s="32">
        <v>-0.02</v>
      </c>
      <c r="I53" s="32">
        <v>-0.02</v>
      </c>
      <c r="J53" s="32">
        <v>-0.02</v>
      </c>
    </row>
    <row r="54" spans="1:49" ht="42.75" customHeight="1" x14ac:dyDescent="0.25">
      <c r="A54" s="5"/>
    </row>
    <row r="55" spans="1:49" ht="42.75" customHeight="1" x14ac:dyDescent="0.25">
      <c r="A55" s="5"/>
      <c r="B55" s="28"/>
      <c r="C55" s="28"/>
      <c r="D55" s="28"/>
      <c r="G55" s="1147" t="s">
        <v>78</v>
      </c>
      <c r="H55" s="1225"/>
      <c r="I55" s="1225"/>
      <c r="J55" s="1225"/>
      <c r="K55" s="1225"/>
      <c r="L55" s="1225"/>
      <c r="M55" s="1225"/>
      <c r="N55" s="1225"/>
      <c r="O55" s="1225"/>
      <c r="P55" s="1225"/>
      <c r="Q55" s="1225"/>
      <c r="R55" s="1225"/>
      <c r="S55" s="1225"/>
      <c r="T55" s="1225"/>
      <c r="U55" s="1225"/>
      <c r="V55" s="1225"/>
      <c r="W55" s="1225"/>
      <c r="X55" s="1225"/>
      <c r="Y55" s="1225"/>
      <c r="Z55" s="1225"/>
      <c r="AA55" s="1225"/>
      <c r="AB55" s="1225"/>
      <c r="AC55" s="1225"/>
      <c r="AD55" s="1225"/>
      <c r="AE55" s="1225"/>
      <c r="AF55" s="1225"/>
      <c r="AG55" s="1225"/>
      <c r="AH55" s="1225"/>
      <c r="AI55" s="1225"/>
      <c r="AJ55" s="1225"/>
      <c r="AK55" s="1225"/>
      <c r="AL55" s="1225"/>
      <c r="AM55" s="1225"/>
      <c r="AN55" s="1225"/>
      <c r="AO55" s="1225"/>
      <c r="AP55" s="1225"/>
      <c r="AQ55" s="1225"/>
      <c r="AR55" s="1225"/>
      <c r="AS55" s="1225"/>
      <c r="AT55" s="1225"/>
      <c r="AU55" s="1225"/>
      <c r="AV55" s="1225"/>
      <c r="AW55" s="1225"/>
    </row>
    <row r="56" spans="1:49" ht="42.75" customHeight="1" x14ac:dyDescent="0.25">
      <c r="A56" s="5"/>
      <c r="G56" s="1222" t="s">
        <v>415</v>
      </c>
      <c r="H56" s="1222" t="s">
        <v>416</v>
      </c>
      <c r="I56" s="1223" t="s">
        <v>417</v>
      </c>
      <c r="J56" s="1224"/>
      <c r="K56" s="1224"/>
      <c r="L56" s="1224"/>
      <c r="M56" s="1224"/>
      <c r="N56" s="1224"/>
      <c r="O56" s="1224"/>
      <c r="P56" s="1224"/>
      <c r="Q56" s="1224"/>
      <c r="R56" s="1224"/>
      <c r="S56" s="1224"/>
      <c r="T56" s="1224"/>
      <c r="U56" s="1224"/>
      <c r="V56" s="1224"/>
      <c r="W56" s="1224"/>
      <c r="X56" s="1224"/>
      <c r="Y56" s="1224"/>
      <c r="Z56" s="1224"/>
      <c r="AA56" s="1224"/>
      <c r="AB56" s="1224"/>
      <c r="AC56" s="1224"/>
      <c r="AD56" s="1224"/>
      <c r="AE56" s="1224"/>
      <c r="AF56" s="1224"/>
      <c r="AG56" s="1224"/>
      <c r="AH56" s="1224"/>
      <c r="AI56" s="1224"/>
      <c r="AJ56" s="1224"/>
      <c r="AK56" s="1224"/>
      <c r="AL56" s="1224"/>
      <c r="AM56" s="1224"/>
      <c r="AN56" s="1224"/>
      <c r="AO56" s="1224"/>
      <c r="AP56" s="1224"/>
      <c r="AQ56" s="1224"/>
      <c r="AR56" s="1224"/>
      <c r="AS56" s="1224"/>
      <c r="AT56" s="1224"/>
      <c r="AU56" s="1224"/>
      <c r="AV56" s="1224"/>
      <c r="AW56" s="1224"/>
    </row>
    <row r="57" spans="1:49" ht="42.75" customHeight="1" x14ac:dyDescent="0.3">
      <c r="B57" s="29"/>
      <c r="C57" s="30"/>
      <c r="D57" s="30"/>
      <c r="G57" s="1222"/>
      <c r="H57" s="1222"/>
      <c r="I57" s="1222">
        <v>2011</v>
      </c>
      <c r="J57" s="1222">
        <v>2012</v>
      </c>
      <c r="K57" s="1222">
        <v>2013</v>
      </c>
      <c r="L57" s="1222"/>
      <c r="M57" s="1222"/>
      <c r="N57" s="1222">
        <v>2014</v>
      </c>
      <c r="O57" s="1222"/>
      <c r="P57" s="1222"/>
      <c r="Q57" s="1222"/>
      <c r="R57" s="1222"/>
      <c r="S57" s="1222"/>
      <c r="T57" s="1222"/>
      <c r="U57" s="1222"/>
      <c r="V57" s="1222"/>
      <c r="W57" s="1222"/>
      <c r="X57" s="1222"/>
      <c r="Y57" s="1222"/>
      <c r="Z57" s="1222"/>
      <c r="AA57" s="1222" t="s">
        <v>418</v>
      </c>
      <c r="AB57" s="1226" t="s">
        <v>79</v>
      </c>
      <c r="AC57" s="1226"/>
      <c r="AD57" s="1226"/>
      <c r="AE57" s="1226"/>
      <c r="AF57" s="1222">
        <v>2015</v>
      </c>
      <c r="AG57" s="1222"/>
      <c r="AH57" s="1222"/>
      <c r="AI57" s="1222"/>
      <c r="AJ57" s="1222"/>
      <c r="AK57" s="1222"/>
      <c r="AL57" s="1222"/>
      <c r="AM57" s="1222"/>
      <c r="AN57" s="1222"/>
      <c r="AO57" s="1222"/>
      <c r="AP57" s="1222"/>
      <c r="AQ57" s="1222"/>
      <c r="AR57" s="1222"/>
      <c r="AS57" s="1222" t="s">
        <v>769</v>
      </c>
      <c r="AT57" s="1226" t="s">
        <v>79</v>
      </c>
      <c r="AU57" s="1226"/>
      <c r="AV57" s="1226"/>
      <c r="AW57" s="1226"/>
    </row>
    <row r="58" spans="1:49" ht="42.75" customHeight="1" x14ac:dyDescent="0.3">
      <c r="B58" s="29"/>
      <c r="C58" s="30"/>
      <c r="D58" s="30"/>
      <c r="G58" s="1222"/>
      <c r="H58" s="1222"/>
      <c r="I58" s="1222"/>
      <c r="J58" s="1222"/>
      <c r="K58" s="1222" t="s">
        <v>419</v>
      </c>
      <c r="L58" s="1222" t="s">
        <v>420</v>
      </c>
      <c r="M58" s="1222" t="s">
        <v>185</v>
      </c>
      <c r="N58" s="1222" t="s">
        <v>86</v>
      </c>
      <c r="O58" s="1222"/>
      <c r="P58" s="1222"/>
      <c r="Q58" s="1222"/>
      <c r="R58" s="1222"/>
      <c r="S58" s="1222"/>
      <c r="T58" s="1222"/>
      <c r="U58" s="1222"/>
      <c r="V58" s="1222"/>
      <c r="W58" s="1222"/>
      <c r="X58" s="1222"/>
      <c r="Y58" s="1222"/>
      <c r="Z58" s="1222"/>
      <c r="AA58" s="1222"/>
      <c r="AB58" s="1226"/>
      <c r="AC58" s="1226"/>
      <c r="AD58" s="1226"/>
      <c r="AE58" s="1226"/>
      <c r="AF58" s="1222" t="s">
        <v>86</v>
      </c>
      <c r="AG58" s="1222"/>
      <c r="AH58" s="1222"/>
      <c r="AI58" s="1222"/>
      <c r="AJ58" s="1222"/>
      <c r="AK58" s="1222"/>
      <c r="AL58" s="1222"/>
      <c r="AM58" s="1222"/>
      <c r="AN58" s="1222"/>
      <c r="AO58" s="1222"/>
      <c r="AP58" s="1222"/>
      <c r="AQ58" s="1222"/>
      <c r="AR58" s="1222"/>
      <c r="AS58" s="1222"/>
      <c r="AT58" s="1226"/>
      <c r="AU58" s="1226"/>
      <c r="AV58" s="1226"/>
      <c r="AW58" s="1226"/>
    </row>
    <row r="59" spans="1:49" ht="42.75" customHeight="1" x14ac:dyDescent="0.3">
      <c r="B59" s="29"/>
      <c r="C59" s="30"/>
      <c r="D59" s="30"/>
      <c r="G59" s="1222"/>
      <c r="H59" s="1222"/>
      <c r="I59" s="1222"/>
      <c r="J59" s="1222"/>
      <c r="K59" s="1222"/>
      <c r="L59" s="1222"/>
      <c r="M59" s="1222"/>
      <c r="N59" s="214" t="s">
        <v>421</v>
      </c>
      <c r="O59" s="214" t="s">
        <v>422</v>
      </c>
      <c r="P59" s="214" t="s">
        <v>423</v>
      </c>
      <c r="Q59" s="214" t="s">
        <v>424</v>
      </c>
      <c r="R59" s="214" t="s">
        <v>425</v>
      </c>
      <c r="S59" s="214" t="s">
        <v>426</v>
      </c>
      <c r="T59" s="214" t="s">
        <v>427</v>
      </c>
      <c r="U59" s="214" t="s">
        <v>428</v>
      </c>
      <c r="V59" s="214" t="s">
        <v>429</v>
      </c>
      <c r="W59" s="214" t="s">
        <v>430</v>
      </c>
      <c r="X59" s="214" t="s">
        <v>431</v>
      </c>
      <c r="Y59" s="214" t="s">
        <v>432</v>
      </c>
      <c r="Z59" s="214" t="s">
        <v>81</v>
      </c>
      <c r="AA59" s="1222"/>
      <c r="AB59" s="1226"/>
      <c r="AC59" s="1226"/>
      <c r="AD59" s="1226"/>
      <c r="AE59" s="1226"/>
      <c r="AF59" s="214" t="s">
        <v>421</v>
      </c>
      <c r="AG59" s="214" t="s">
        <v>422</v>
      </c>
      <c r="AH59" s="214" t="s">
        <v>423</v>
      </c>
      <c r="AI59" s="214" t="s">
        <v>424</v>
      </c>
      <c r="AJ59" s="214" t="s">
        <v>425</v>
      </c>
      <c r="AK59" s="214" t="s">
        <v>426</v>
      </c>
      <c r="AL59" s="214" t="s">
        <v>427</v>
      </c>
      <c r="AM59" s="214" t="s">
        <v>428</v>
      </c>
      <c r="AN59" s="214" t="s">
        <v>429</v>
      </c>
      <c r="AO59" s="214" t="s">
        <v>430</v>
      </c>
      <c r="AP59" s="214" t="s">
        <v>431</v>
      </c>
      <c r="AQ59" s="214" t="s">
        <v>432</v>
      </c>
      <c r="AR59" s="214" t="s">
        <v>81</v>
      </c>
      <c r="AS59" s="1222"/>
      <c r="AT59" s="1226"/>
      <c r="AU59" s="1226"/>
      <c r="AV59" s="1226"/>
      <c r="AW59" s="1226"/>
    </row>
    <row r="60" spans="1:49" ht="42.75" customHeight="1" x14ac:dyDescent="0.3">
      <c r="B60" s="29"/>
      <c r="C60" s="30"/>
      <c r="D60" s="30"/>
      <c r="G60" s="1227" t="s">
        <v>433</v>
      </c>
      <c r="H60" s="114" t="s">
        <v>434</v>
      </c>
      <c r="I60" s="52">
        <v>12</v>
      </c>
      <c r="J60" s="115">
        <v>11</v>
      </c>
      <c r="K60" s="115">
        <v>9</v>
      </c>
      <c r="L60" s="116">
        <f>+K60/12</f>
        <v>0.75</v>
      </c>
      <c r="M60" s="117">
        <f>(K60*0.02)</f>
        <v>0.18</v>
      </c>
      <c r="N60" s="43">
        <v>1</v>
      </c>
      <c r="O60" s="43"/>
      <c r="P60" s="43">
        <v>1</v>
      </c>
      <c r="Q60" s="43">
        <v>1</v>
      </c>
      <c r="R60" s="43"/>
      <c r="S60" s="43">
        <v>1</v>
      </c>
      <c r="T60" s="43">
        <v>1</v>
      </c>
      <c r="U60" s="43">
        <v>2</v>
      </c>
      <c r="V60" s="117"/>
      <c r="W60" s="117">
        <v>2</v>
      </c>
      <c r="X60" s="117">
        <v>1</v>
      </c>
      <c r="Y60" s="117">
        <v>1</v>
      </c>
      <c r="Z60" s="115">
        <f>SUM(N60:Y60)</f>
        <v>11</v>
      </c>
      <c r="AA60" s="118">
        <f>+(Z60/K60)-1</f>
        <v>0.22222222222222232</v>
      </c>
      <c r="AB60" s="1212" t="s">
        <v>770</v>
      </c>
      <c r="AC60" s="1212"/>
      <c r="AD60" s="1212"/>
      <c r="AE60" s="1212"/>
      <c r="AF60" s="43">
        <v>1</v>
      </c>
      <c r="AG60" s="43"/>
      <c r="AH60" s="43">
        <v>1</v>
      </c>
      <c r="AI60" s="43"/>
      <c r="AJ60" s="43">
        <v>1</v>
      </c>
      <c r="AK60" s="43"/>
      <c r="AL60" s="43">
        <v>1</v>
      </c>
      <c r="AM60" s="43"/>
      <c r="AN60" s="117">
        <v>1</v>
      </c>
      <c r="AO60" s="117"/>
      <c r="AP60" s="117"/>
      <c r="AQ60" s="117"/>
      <c r="AR60" s="115">
        <f>SUM(AF60:AQ60)</f>
        <v>5</v>
      </c>
      <c r="AS60" s="118">
        <f>+(AR60/Z60)-1</f>
        <v>-0.54545454545454541</v>
      </c>
      <c r="AT60" s="1212" t="s">
        <v>771</v>
      </c>
      <c r="AU60" s="1212"/>
      <c r="AV60" s="1212"/>
      <c r="AW60" s="1212"/>
    </row>
    <row r="61" spans="1:49" ht="42.75" customHeight="1" x14ac:dyDescent="0.3">
      <c r="B61" s="29"/>
      <c r="C61" s="30"/>
      <c r="D61" s="30"/>
      <c r="G61" s="1227"/>
      <c r="H61" s="114" t="s">
        <v>435</v>
      </c>
      <c r="I61" s="52">
        <v>5.2</v>
      </c>
      <c r="J61" s="115">
        <v>2</v>
      </c>
      <c r="K61" s="115">
        <v>2</v>
      </c>
      <c r="L61" s="116">
        <f t="shared" ref="L61:L83" si="1">+K61/12</f>
        <v>0.16666666666666666</v>
      </c>
      <c r="M61" s="117">
        <f t="shared" ref="M61:M83" si="2">(K61*0.02)</f>
        <v>0.04</v>
      </c>
      <c r="N61" s="43"/>
      <c r="O61" s="43"/>
      <c r="P61" s="43">
        <v>1</v>
      </c>
      <c r="Q61" s="43"/>
      <c r="R61" s="43"/>
      <c r="S61" s="43"/>
      <c r="T61" s="43"/>
      <c r="U61" s="43"/>
      <c r="V61" s="117">
        <v>1</v>
      </c>
      <c r="W61" s="117"/>
      <c r="X61" s="117"/>
      <c r="Y61" s="117">
        <v>1</v>
      </c>
      <c r="Z61" s="115">
        <f>SUM(N61:Y61)</f>
        <v>3</v>
      </c>
      <c r="AA61" s="118">
        <f>+(Z61/K61)-1</f>
        <v>0.5</v>
      </c>
      <c r="AB61" s="1212"/>
      <c r="AC61" s="1212"/>
      <c r="AD61" s="1212"/>
      <c r="AE61" s="1212"/>
      <c r="AF61" s="43"/>
      <c r="AG61" s="43"/>
      <c r="AH61" s="43">
        <v>1</v>
      </c>
      <c r="AI61" s="43"/>
      <c r="AJ61" s="43"/>
      <c r="AK61" s="43">
        <v>1</v>
      </c>
      <c r="AL61" s="43"/>
      <c r="AM61" s="43"/>
      <c r="AN61" s="117">
        <v>1</v>
      </c>
      <c r="AO61" s="117"/>
      <c r="AP61" s="117"/>
      <c r="AQ61" s="117"/>
      <c r="AR61" s="115">
        <f>SUM(AF61:AQ61)</f>
        <v>3</v>
      </c>
      <c r="AS61" s="118">
        <f t="shared" ref="AS61:AS83" si="3">+(AR61/Z61)-1</f>
        <v>0</v>
      </c>
      <c r="AT61" s="1212"/>
      <c r="AU61" s="1212"/>
      <c r="AV61" s="1212"/>
      <c r="AW61" s="1212"/>
    </row>
    <row r="62" spans="1:49" ht="42.75" customHeight="1" x14ac:dyDescent="0.3">
      <c r="B62" s="29"/>
      <c r="C62" s="30"/>
      <c r="D62" s="30"/>
      <c r="G62" s="1227"/>
      <c r="H62" s="114" t="s">
        <v>81</v>
      </c>
      <c r="I62" s="119">
        <v>17.2</v>
      </c>
      <c r="J62" s="119">
        <v>13</v>
      </c>
      <c r="K62" s="119">
        <v>11</v>
      </c>
      <c r="L62" s="120">
        <f t="shared" si="1"/>
        <v>0.91666666666666663</v>
      </c>
      <c r="M62" s="120">
        <f>(K62*0.02)</f>
        <v>0.22</v>
      </c>
      <c r="N62" s="119">
        <f>SUM(N60:N61)</f>
        <v>1</v>
      </c>
      <c r="O62" s="119">
        <f t="shared" ref="O62:Z62" si="4">SUM(O60:O61)</f>
        <v>0</v>
      </c>
      <c r="P62" s="119">
        <f t="shared" si="4"/>
        <v>2</v>
      </c>
      <c r="Q62" s="119">
        <f t="shared" si="4"/>
        <v>1</v>
      </c>
      <c r="R62" s="119">
        <f t="shared" si="4"/>
        <v>0</v>
      </c>
      <c r="S62" s="119">
        <f t="shared" si="4"/>
        <v>1</v>
      </c>
      <c r="T62" s="119">
        <f t="shared" si="4"/>
        <v>1</v>
      </c>
      <c r="U62" s="119">
        <f t="shared" si="4"/>
        <v>2</v>
      </c>
      <c r="V62" s="119">
        <f t="shared" si="4"/>
        <v>1</v>
      </c>
      <c r="W62" s="119">
        <f t="shared" si="4"/>
        <v>2</v>
      </c>
      <c r="X62" s="119">
        <f t="shared" si="4"/>
        <v>1</v>
      </c>
      <c r="Y62" s="119">
        <f t="shared" si="4"/>
        <v>2</v>
      </c>
      <c r="Z62" s="119">
        <f t="shared" si="4"/>
        <v>14</v>
      </c>
      <c r="AA62" s="121">
        <f t="shared" ref="AA62:AA83" si="5">+(Z62/K62)-1</f>
        <v>0.27272727272727271</v>
      </c>
      <c r="AB62" s="1212"/>
      <c r="AC62" s="1212"/>
      <c r="AD62" s="1212"/>
      <c r="AE62" s="1212"/>
      <c r="AF62" s="119">
        <f>SUM(AF60:AF61)</f>
        <v>1</v>
      </c>
      <c r="AG62" s="119">
        <f t="shared" ref="AG62:AO62" si="6">SUM(AG60:AG61)</f>
        <v>0</v>
      </c>
      <c r="AH62" s="119">
        <f t="shared" si="6"/>
        <v>2</v>
      </c>
      <c r="AI62" s="119">
        <f t="shared" si="6"/>
        <v>0</v>
      </c>
      <c r="AJ62" s="119">
        <f t="shared" si="6"/>
        <v>1</v>
      </c>
      <c r="AK62" s="119">
        <f t="shared" si="6"/>
        <v>1</v>
      </c>
      <c r="AL62" s="119">
        <f t="shared" si="6"/>
        <v>1</v>
      </c>
      <c r="AM62" s="119">
        <f t="shared" si="6"/>
        <v>0</v>
      </c>
      <c r="AN62" s="119">
        <f t="shared" si="6"/>
        <v>2</v>
      </c>
      <c r="AO62" s="119">
        <f t="shared" si="6"/>
        <v>0</v>
      </c>
      <c r="AP62" s="119">
        <f>SUM(AP60:AP61)</f>
        <v>0</v>
      </c>
      <c r="AQ62" s="119">
        <f>SUM(AQ60:AQ61)</f>
        <v>0</v>
      </c>
      <c r="AR62" s="119">
        <f>SUM(AR60:AR61)</f>
        <v>8</v>
      </c>
      <c r="AS62" s="121">
        <f t="shared" si="3"/>
        <v>-0.4285714285714286</v>
      </c>
      <c r="AT62" s="1212"/>
      <c r="AU62" s="1212"/>
      <c r="AV62" s="1212"/>
      <c r="AW62" s="1212"/>
    </row>
    <row r="63" spans="1:49" ht="42.75" customHeight="1" x14ac:dyDescent="0.3">
      <c r="B63" s="29"/>
      <c r="C63" s="30"/>
      <c r="D63" s="30"/>
      <c r="G63" s="1227" t="s">
        <v>436</v>
      </c>
      <c r="H63" s="114" t="s">
        <v>434</v>
      </c>
      <c r="I63" s="52">
        <v>24</v>
      </c>
      <c r="J63" s="115">
        <v>19</v>
      </c>
      <c r="K63" s="115">
        <v>13</v>
      </c>
      <c r="L63" s="116">
        <f t="shared" si="1"/>
        <v>1.0833333333333333</v>
      </c>
      <c r="M63" s="117">
        <f t="shared" si="2"/>
        <v>0.26</v>
      </c>
      <c r="N63" s="43">
        <v>1</v>
      </c>
      <c r="O63" s="43">
        <v>1</v>
      </c>
      <c r="P63" s="43"/>
      <c r="Q63" s="43">
        <v>2</v>
      </c>
      <c r="R63" s="43">
        <v>1</v>
      </c>
      <c r="S63" s="43">
        <v>2</v>
      </c>
      <c r="T63" s="43"/>
      <c r="U63" s="43">
        <v>1</v>
      </c>
      <c r="V63" s="117">
        <v>0.5</v>
      </c>
      <c r="W63" s="117">
        <v>1</v>
      </c>
      <c r="X63" s="117">
        <v>1</v>
      </c>
      <c r="Y63" s="117">
        <v>1</v>
      </c>
      <c r="Z63" s="115">
        <f>SUM(N63:Y63)</f>
        <v>11.5</v>
      </c>
      <c r="AA63" s="118">
        <f t="shared" si="5"/>
        <v>-0.11538461538461542</v>
      </c>
      <c r="AB63" s="1212"/>
      <c r="AC63" s="1212"/>
      <c r="AD63" s="1212"/>
      <c r="AE63" s="1212"/>
      <c r="AF63" s="43">
        <v>1</v>
      </c>
      <c r="AG63" s="43">
        <v>1</v>
      </c>
      <c r="AH63" s="43">
        <v>1</v>
      </c>
      <c r="AI63" s="43">
        <v>1</v>
      </c>
      <c r="AJ63" s="43">
        <v>1</v>
      </c>
      <c r="AK63" s="43">
        <v>1</v>
      </c>
      <c r="AL63" s="43">
        <v>1</v>
      </c>
      <c r="AM63" s="43">
        <v>1</v>
      </c>
      <c r="AN63" s="117">
        <v>1</v>
      </c>
      <c r="AO63" s="117"/>
      <c r="AP63" s="117"/>
      <c r="AQ63" s="117"/>
      <c r="AR63" s="115">
        <f>SUM(AF63:AQ63)</f>
        <v>9</v>
      </c>
      <c r="AS63" s="118">
        <f t="shared" si="3"/>
        <v>-0.21739130434782605</v>
      </c>
      <c r="AT63" s="1212"/>
      <c r="AU63" s="1212"/>
      <c r="AV63" s="1212"/>
      <c r="AW63" s="1212"/>
    </row>
    <row r="64" spans="1:49" ht="42.75" customHeight="1" x14ac:dyDescent="0.3">
      <c r="B64" s="29"/>
      <c r="C64" s="30"/>
      <c r="D64" s="30"/>
      <c r="G64" s="1227"/>
      <c r="H64" s="114" t="s">
        <v>435</v>
      </c>
      <c r="I64" s="52">
        <v>10.4</v>
      </c>
      <c r="J64" s="115">
        <v>3</v>
      </c>
      <c r="K64" s="115">
        <v>5</v>
      </c>
      <c r="L64" s="116">
        <f t="shared" si="1"/>
        <v>0.41666666666666669</v>
      </c>
      <c r="M64" s="117">
        <f t="shared" si="2"/>
        <v>0.1</v>
      </c>
      <c r="N64" s="43"/>
      <c r="O64" s="43"/>
      <c r="P64" s="43">
        <v>1</v>
      </c>
      <c r="Q64" s="43">
        <v>0</v>
      </c>
      <c r="R64" s="43">
        <v>1</v>
      </c>
      <c r="S64" s="43"/>
      <c r="T64" s="43"/>
      <c r="U64" s="43"/>
      <c r="V64" s="117">
        <v>1</v>
      </c>
      <c r="W64" s="117">
        <v>1</v>
      </c>
      <c r="X64" s="117">
        <v>1</v>
      </c>
      <c r="Y64" s="117"/>
      <c r="Z64" s="115">
        <f>SUM(N64:Y64)</f>
        <v>5</v>
      </c>
      <c r="AA64" s="118">
        <f t="shared" si="5"/>
        <v>0</v>
      </c>
      <c r="AB64" s="1212"/>
      <c r="AC64" s="1212"/>
      <c r="AD64" s="1212"/>
      <c r="AE64" s="1212"/>
      <c r="AF64" s="43"/>
      <c r="AG64" s="43"/>
      <c r="AH64" s="43">
        <v>1</v>
      </c>
      <c r="AI64" s="43"/>
      <c r="AJ64" s="43"/>
      <c r="AK64" s="43">
        <v>1</v>
      </c>
      <c r="AL64" s="43"/>
      <c r="AM64" s="43"/>
      <c r="AN64" s="117">
        <v>1</v>
      </c>
      <c r="AO64" s="117"/>
      <c r="AP64" s="117"/>
      <c r="AQ64" s="117"/>
      <c r="AR64" s="115">
        <f>SUM(AF64:AQ64)</f>
        <v>3</v>
      </c>
      <c r="AS64" s="118">
        <f t="shared" si="3"/>
        <v>-0.4</v>
      </c>
      <c r="AT64" s="1212"/>
      <c r="AU64" s="1212"/>
      <c r="AV64" s="1212"/>
      <c r="AW64" s="1212"/>
    </row>
    <row r="65" spans="2:49" ht="42.75" customHeight="1" x14ac:dyDescent="0.3">
      <c r="B65" s="29"/>
      <c r="C65" s="30"/>
      <c r="D65" s="30"/>
      <c r="G65" s="1227"/>
      <c r="H65" s="114" t="s">
        <v>81</v>
      </c>
      <c r="I65" s="119">
        <v>34.4</v>
      </c>
      <c r="J65" s="119">
        <v>22</v>
      </c>
      <c r="K65" s="119">
        <v>18</v>
      </c>
      <c r="L65" s="120">
        <f t="shared" si="1"/>
        <v>1.5</v>
      </c>
      <c r="M65" s="120">
        <f t="shared" si="2"/>
        <v>0.36</v>
      </c>
      <c r="N65" s="119">
        <f t="shared" ref="N65:Z65" si="7">SUM(N63:N64)</f>
        <v>1</v>
      </c>
      <c r="O65" s="119">
        <f t="shared" si="7"/>
        <v>1</v>
      </c>
      <c r="P65" s="119">
        <f t="shared" si="7"/>
        <v>1</v>
      </c>
      <c r="Q65" s="119">
        <f t="shared" si="7"/>
        <v>2</v>
      </c>
      <c r="R65" s="119">
        <f t="shared" si="7"/>
        <v>2</v>
      </c>
      <c r="S65" s="119">
        <f t="shared" si="7"/>
        <v>2</v>
      </c>
      <c r="T65" s="119">
        <f t="shared" si="7"/>
        <v>0</v>
      </c>
      <c r="U65" s="119">
        <f t="shared" si="7"/>
        <v>1</v>
      </c>
      <c r="V65" s="119">
        <f t="shared" si="7"/>
        <v>1.5</v>
      </c>
      <c r="W65" s="119">
        <f t="shared" si="7"/>
        <v>2</v>
      </c>
      <c r="X65" s="119">
        <f t="shared" si="7"/>
        <v>2</v>
      </c>
      <c r="Y65" s="119">
        <f t="shared" si="7"/>
        <v>1</v>
      </c>
      <c r="Z65" s="119">
        <f t="shared" si="7"/>
        <v>16.5</v>
      </c>
      <c r="AA65" s="121">
        <f t="shared" si="5"/>
        <v>-8.333333333333337E-2</v>
      </c>
      <c r="AB65" s="1212"/>
      <c r="AC65" s="1212"/>
      <c r="AD65" s="1212"/>
      <c r="AE65" s="1212"/>
      <c r="AF65" s="119">
        <f>SUM(AF63:AF64)</f>
        <v>1</v>
      </c>
      <c r="AG65" s="119">
        <f t="shared" ref="AG65:AO65" si="8">SUM(AG63:AG64)</f>
        <v>1</v>
      </c>
      <c r="AH65" s="119">
        <f t="shared" si="8"/>
        <v>2</v>
      </c>
      <c r="AI65" s="119">
        <f t="shared" si="8"/>
        <v>1</v>
      </c>
      <c r="AJ65" s="119">
        <f t="shared" si="8"/>
        <v>1</v>
      </c>
      <c r="AK65" s="119">
        <f t="shared" si="8"/>
        <v>2</v>
      </c>
      <c r="AL65" s="119">
        <f t="shared" si="8"/>
        <v>1</v>
      </c>
      <c r="AM65" s="119">
        <f t="shared" si="8"/>
        <v>1</v>
      </c>
      <c r="AN65" s="119">
        <f t="shared" si="8"/>
        <v>2</v>
      </c>
      <c r="AO65" s="119">
        <f t="shared" si="8"/>
        <v>0</v>
      </c>
      <c r="AP65" s="119">
        <f>SUM(AP63:AP64)</f>
        <v>0</v>
      </c>
      <c r="AQ65" s="119">
        <f>SUM(AQ63:AQ64)</f>
        <v>0</v>
      </c>
      <c r="AR65" s="119">
        <f>SUM(AR63:AR64)</f>
        <v>12</v>
      </c>
      <c r="AS65" s="121">
        <f t="shared" si="3"/>
        <v>-0.27272727272727271</v>
      </c>
      <c r="AT65" s="1212"/>
      <c r="AU65" s="1212"/>
      <c r="AV65" s="1212"/>
      <c r="AW65" s="1212"/>
    </row>
    <row r="66" spans="2:49" ht="42.75" customHeight="1" x14ac:dyDescent="0.3">
      <c r="B66" s="29"/>
      <c r="C66" s="30"/>
      <c r="D66" s="30"/>
      <c r="G66" s="1227" t="s">
        <v>437</v>
      </c>
      <c r="H66" s="114" t="s">
        <v>434</v>
      </c>
      <c r="I66" s="52">
        <v>50</v>
      </c>
      <c r="J66" s="115">
        <v>82</v>
      </c>
      <c r="K66" s="115">
        <v>38</v>
      </c>
      <c r="L66" s="116">
        <f t="shared" si="1"/>
        <v>3.1666666666666665</v>
      </c>
      <c r="M66" s="117">
        <f t="shared" si="2"/>
        <v>0.76</v>
      </c>
      <c r="N66" s="43">
        <v>4</v>
      </c>
      <c r="O66" s="43">
        <v>3</v>
      </c>
      <c r="P66" s="43">
        <v>2</v>
      </c>
      <c r="Q66" s="43">
        <v>2</v>
      </c>
      <c r="R66" s="43">
        <v>1</v>
      </c>
      <c r="S66" s="43">
        <v>4</v>
      </c>
      <c r="T66" s="43">
        <v>2</v>
      </c>
      <c r="U66" s="43">
        <v>2</v>
      </c>
      <c r="V66" s="117">
        <v>3</v>
      </c>
      <c r="W66" s="117">
        <v>5</v>
      </c>
      <c r="X66" s="43">
        <v>5</v>
      </c>
      <c r="Y66" s="43">
        <v>4</v>
      </c>
      <c r="Z66" s="115">
        <f>SUM(N66:Y66)</f>
        <v>37</v>
      </c>
      <c r="AA66" s="118">
        <f t="shared" si="5"/>
        <v>-2.6315789473684181E-2</v>
      </c>
      <c r="AB66" s="1212"/>
      <c r="AC66" s="1212"/>
      <c r="AD66" s="1212"/>
      <c r="AE66" s="1212"/>
      <c r="AF66" s="43">
        <v>3</v>
      </c>
      <c r="AG66" s="43">
        <v>2</v>
      </c>
      <c r="AH66" s="43">
        <v>2</v>
      </c>
      <c r="AI66" s="43">
        <v>3</v>
      </c>
      <c r="AJ66" s="43">
        <v>2</v>
      </c>
      <c r="AK66" s="43">
        <v>3</v>
      </c>
      <c r="AL66" s="43">
        <v>3</v>
      </c>
      <c r="AM66" s="43">
        <v>3</v>
      </c>
      <c r="AN66" s="117">
        <v>3</v>
      </c>
      <c r="AO66" s="117"/>
      <c r="AP66" s="43"/>
      <c r="AQ66" s="43"/>
      <c r="AR66" s="115">
        <f>SUM(AF66:AQ66)</f>
        <v>24</v>
      </c>
      <c r="AS66" s="118">
        <f t="shared" si="3"/>
        <v>-0.35135135135135132</v>
      </c>
      <c r="AT66" s="1212"/>
      <c r="AU66" s="1212"/>
      <c r="AV66" s="1212"/>
      <c r="AW66" s="1212"/>
    </row>
    <row r="67" spans="2:49" ht="42.75" customHeight="1" x14ac:dyDescent="0.3">
      <c r="B67" s="29"/>
      <c r="C67" s="30"/>
      <c r="D67" s="30"/>
      <c r="G67" s="1227"/>
      <c r="H67" s="114" t="s">
        <v>435</v>
      </c>
      <c r="I67" s="52">
        <v>23.4</v>
      </c>
      <c r="J67" s="115">
        <v>32</v>
      </c>
      <c r="K67" s="115">
        <v>26</v>
      </c>
      <c r="L67" s="116">
        <f t="shared" si="1"/>
        <v>2.1666666666666665</v>
      </c>
      <c r="M67" s="117">
        <f t="shared" si="2"/>
        <v>0.52</v>
      </c>
      <c r="N67" s="43"/>
      <c r="O67" s="43">
        <v>1</v>
      </c>
      <c r="P67" s="43">
        <v>1</v>
      </c>
      <c r="Q67" s="43"/>
      <c r="R67" s="43"/>
      <c r="S67" s="43">
        <v>1</v>
      </c>
      <c r="T67" s="43">
        <v>1</v>
      </c>
      <c r="U67" s="43"/>
      <c r="V67" s="117">
        <v>2</v>
      </c>
      <c r="W67" s="117">
        <v>5</v>
      </c>
      <c r="X67" s="43">
        <v>5</v>
      </c>
      <c r="Y67" s="43">
        <v>5</v>
      </c>
      <c r="Z67" s="115">
        <f>SUM(N67:Y67)</f>
        <v>21</v>
      </c>
      <c r="AA67" s="118">
        <f t="shared" si="5"/>
        <v>-0.19230769230769229</v>
      </c>
      <c r="AB67" s="1212"/>
      <c r="AC67" s="1212"/>
      <c r="AD67" s="1212"/>
      <c r="AE67" s="1212"/>
      <c r="AF67" s="43">
        <v>1</v>
      </c>
      <c r="AG67" s="43">
        <v>2</v>
      </c>
      <c r="AH67" s="43">
        <v>2</v>
      </c>
      <c r="AI67" s="43">
        <v>1</v>
      </c>
      <c r="AJ67" s="43">
        <v>2</v>
      </c>
      <c r="AK67" s="43">
        <v>2</v>
      </c>
      <c r="AL67" s="43">
        <v>2</v>
      </c>
      <c r="AM67" s="43">
        <v>2</v>
      </c>
      <c r="AN67" s="117">
        <v>2</v>
      </c>
      <c r="AO67" s="117"/>
      <c r="AP67" s="43"/>
      <c r="AQ67" s="43"/>
      <c r="AR67" s="115">
        <f>SUM(AF67:AQ67)</f>
        <v>16</v>
      </c>
      <c r="AS67" s="118">
        <f t="shared" si="3"/>
        <v>-0.23809523809523814</v>
      </c>
      <c r="AT67" s="1212"/>
      <c r="AU67" s="1212"/>
      <c r="AV67" s="1212"/>
      <c r="AW67" s="1212"/>
    </row>
    <row r="68" spans="2:49" ht="42.75" customHeight="1" x14ac:dyDescent="0.3">
      <c r="B68" s="29"/>
      <c r="C68" s="30"/>
      <c r="D68" s="30"/>
      <c r="G68" s="1227"/>
      <c r="H68" s="114" t="s">
        <v>81</v>
      </c>
      <c r="I68" s="119">
        <v>73.400000000000006</v>
      </c>
      <c r="J68" s="119">
        <v>114</v>
      </c>
      <c r="K68" s="119">
        <v>64</v>
      </c>
      <c r="L68" s="120">
        <f t="shared" si="1"/>
        <v>5.333333333333333</v>
      </c>
      <c r="M68" s="120">
        <f t="shared" si="2"/>
        <v>1.28</v>
      </c>
      <c r="N68" s="119">
        <f>SUM(N66:N67)</f>
        <v>4</v>
      </c>
      <c r="O68" s="119">
        <f t="shared" ref="O68:Y68" si="9">SUM(O66:O67)</f>
        <v>4</v>
      </c>
      <c r="P68" s="119">
        <f t="shared" si="9"/>
        <v>3</v>
      </c>
      <c r="Q68" s="119">
        <f t="shared" si="9"/>
        <v>2</v>
      </c>
      <c r="R68" s="119">
        <f t="shared" si="9"/>
        <v>1</v>
      </c>
      <c r="S68" s="119">
        <f t="shared" si="9"/>
        <v>5</v>
      </c>
      <c r="T68" s="119">
        <f t="shared" si="9"/>
        <v>3</v>
      </c>
      <c r="U68" s="119">
        <f t="shared" si="9"/>
        <v>2</v>
      </c>
      <c r="V68" s="119">
        <f t="shared" si="9"/>
        <v>5</v>
      </c>
      <c r="W68" s="119">
        <f t="shared" si="9"/>
        <v>10</v>
      </c>
      <c r="X68" s="119">
        <f t="shared" si="9"/>
        <v>10</v>
      </c>
      <c r="Y68" s="119">
        <f t="shared" si="9"/>
        <v>9</v>
      </c>
      <c r="Z68" s="119">
        <f>SUM(Z66:Z67)</f>
        <v>58</v>
      </c>
      <c r="AA68" s="121">
        <f t="shared" si="5"/>
        <v>-9.375E-2</v>
      </c>
      <c r="AB68" s="1212"/>
      <c r="AC68" s="1212"/>
      <c r="AD68" s="1212"/>
      <c r="AE68" s="1212"/>
      <c r="AF68" s="119">
        <f>SUM(AF66:AF67)</f>
        <v>4</v>
      </c>
      <c r="AG68" s="119">
        <f t="shared" ref="AG68:AO68" si="10">SUM(AG66:AG67)</f>
        <v>4</v>
      </c>
      <c r="AH68" s="119">
        <f t="shared" si="10"/>
        <v>4</v>
      </c>
      <c r="AI68" s="119">
        <f t="shared" si="10"/>
        <v>4</v>
      </c>
      <c r="AJ68" s="119">
        <f t="shared" si="10"/>
        <v>4</v>
      </c>
      <c r="AK68" s="119">
        <f t="shared" si="10"/>
        <v>5</v>
      </c>
      <c r="AL68" s="119">
        <f t="shared" si="10"/>
        <v>5</v>
      </c>
      <c r="AM68" s="119">
        <f t="shared" si="10"/>
        <v>5</v>
      </c>
      <c r="AN68" s="119">
        <f t="shared" si="10"/>
        <v>5</v>
      </c>
      <c r="AO68" s="119">
        <f t="shared" si="10"/>
        <v>0</v>
      </c>
      <c r="AP68" s="119">
        <f>SUM(AP66:AP67)</f>
        <v>0</v>
      </c>
      <c r="AQ68" s="119">
        <f>SUM(AQ66:AQ67)</f>
        <v>0</v>
      </c>
      <c r="AR68" s="119">
        <f>SUM(AR66:AR67)</f>
        <v>40</v>
      </c>
      <c r="AS68" s="121">
        <f t="shared" si="3"/>
        <v>-0.31034482758620685</v>
      </c>
      <c r="AT68" s="1212"/>
      <c r="AU68" s="1212"/>
      <c r="AV68" s="1212"/>
      <c r="AW68" s="1212"/>
    </row>
    <row r="69" spans="2:49" ht="42.75" customHeight="1" x14ac:dyDescent="0.3">
      <c r="B69" s="29"/>
      <c r="C69" s="30"/>
      <c r="D69" s="30"/>
      <c r="G69" s="1227" t="s">
        <v>102</v>
      </c>
      <c r="H69" s="114" t="s">
        <v>434</v>
      </c>
      <c r="I69" s="52">
        <v>53</v>
      </c>
      <c r="J69" s="115">
        <v>21</v>
      </c>
      <c r="K69" s="115">
        <v>33</v>
      </c>
      <c r="L69" s="116">
        <f t="shared" si="1"/>
        <v>2.75</v>
      </c>
      <c r="M69" s="117">
        <f t="shared" si="2"/>
        <v>0.66</v>
      </c>
      <c r="N69" s="43"/>
      <c r="O69" s="43"/>
      <c r="P69" s="43"/>
      <c r="Q69" s="43">
        <v>12</v>
      </c>
      <c r="R69" s="43"/>
      <c r="S69" s="43">
        <v>5</v>
      </c>
      <c r="T69" s="43"/>
      <c r="U69" s="43">
        <v>4</v>
      </c>
      <c r="V69" s="43"/>
      <c r="W69" s="43">
        <v>8</v>
      </c>
      <c r="X69" s="43"/>
      <c r="Y69" s="43">
        <v>3</v>
      </c>
      <c r="Z69" s="115">
        <f>SUM(N69:Y69)</f>
        <v>32</v>
      </c>
      <c r="AA69" s="118">
        <f t="shared" si="5"/>
        <v>-3.0303030303030276E-2</v>
      </c>
      <c r="AB69" s="1212"/>
      <c r="AC69" s="1212"/>
      <c r="AD69" s="1212"/>
      <c r="AE69" s="1212"/>
      <c r="AF69" s="43"/>
      <c r="AG69" s="43">
        <v>7</v>
      </c>
      <c r="AH69" s="43"/>
      <c r="AI69" s="43"/>
      <c r="AJ69" s="43">
        <v>8</v>
      </c>
      <c r="AK69" s="43"/>
      <c r="AL69" s="43"/>
      <c r="AM69" s="43">
        <v>6</v>
      </c>
      <c r="AN69" s="43"/>
      <c r="AO69" s="43"/>
      <c r="AP69" s="43"/>
      <c r="AQ69" s="43"/>
      <c r="AR69" s="115">
        <f>SUM(AF69:AQ69)</f>
        <v>21</v>
      </c>
      <c r="AS69" s="118">
        <f t="shared" si="3"/>
        <v>-0.34375</v>
      </c>
      <c r="AT69" s="1212"/>
      <c r="AU69" s="1212"/>
      <c r="AV69" s="1212"/>
      <c r="AW69" s="1212"/>
    </row>
    <row r="70" spans="2:49" ht="42.75" customHeight="1" x14ac:dyDescent="0.3">
      <c r="B70" s="29"/>
      <c r="C70" s="30"/>
      <c r="D70" s="30"/>
      <c r="G70" s="1227"/>
      <c r="H70" s="114" t="s">
        <v>435</v>
      </c>
      <c r="I70" s="52">
        <v>26</v>
      </c>
      <c r="J70" s="115">
        <v>14</v>
      </c>
      <c r="K70" s="115">
        <v>13</v>
      </c>
      <c r="L70" s="116">
        <f t="shared" si="1"/>
        <v>1.0833333333333333</v>
      </c>
      <c r="M70" s="117">
        <f t="shared" si="2"/>
        <v>0.26</v>
      </c>
      <c r="N70" s="43"/>
      <c r="O70" s="43"/>
      <c r="P70" s="43"/>
      <c r="Q70" s="43">
        <v>2</v>
      </c>
      <c r="R70" s="43"/>
      <c r="S70" s="43">
        <v>1</v>
      </c>
      <c r="T70" s="43"/>
      <c r="U70" s="43"/>
      <c r="V70" s="43"/>
      <c r="W70" s="43">
        <v>5</v>
      </c>
      <c r="X70" s="43"/>
      <c r="Y70" s="43">
        <v>4</v>
      </c>
      <c r="Z70" s="115">
        <f>SUM(N70:Y70)</f>
        <v>12</v>
      </c>
      <c r="AA70" s="118">
        <f t="shared" si="5"/>
        <v>-7.6923076923076872E-2</v>
      </c>
      <c r="AB70" s="1212"/>
      <c r="AC70" s="1212"/>
      <c r="AD70" s="1212"/>
      <c r="AE70" s="1212"/>
      <c r="AF70" s="43"/>
      <c r="AG70" s="43">
        <v>2</v>
      </c>
      <c r="AH70" s="43"/>
      <c r="AI70" s="43"/>
      <c r="AJ70" s="43">
        <v>4</v>
      </c>
      <c r="AK70" s="43"/>
      <c r="AL70" s="43"/>
      <c r="AM70" s="43">
        <v>2</v>
      </c>
      <c r="AN70" s="43"/>
      <c r="AO70" s="43"/>
      <c r="AP70" s="43"/>
      <c r="AQ70" s="43"/>
      <c r="AR70" s="115">
        <f>SUM(AF70:AQ70)</f>
        <v>8</v>
      </c>
      <c r="AS70" s="118">
        <f t="shared" si="3"/>
        <v>-0.33333333333333337</v>
      </c>
      <c r="AT70" s="1212"/>
      <c r="AU70" s="1212"/>
      <c r="AV70" s="1212"/>
      <c r="AW70" s="1212"/>
    </row>
    <row r="71" spans="2:49" ht="42.75" customHeight="1" x14ac:dyDescent="0.3">
      <c r="B71" s="29"/>
      <c r="C71" s="30"/>
      <c r="D71" s="30"/>
      <c r="G71" s="1227"/>
      <c r="H71" s="114" t="s">
        <v>81</v>
      </c>
      <c r="I71" s="119">
        <v>79</v>
      </c>
      <c r="J71" s="119">
        <v>35</v>
      </c>
      <c r="K71" s="119">
        <v>46</v>
      </c>
      <c r="L71" s="120">
        <f t="shared" si="1"/>
        <v>3.8333333333333335</v>
      </c>
      <c r="M71" s="120">
        <f t="shared" si="2"/>
        <v>0.92</v>
      </c>
      <c r="N71" s="119">
        <f>SUM(N69:N70)</f>
        <v>0</v>
      </c>
      <c r="O71" s="119">
        <f t="shared" ref="O71:Y71" si="11">SUM(O69:O70)</f>
        <v>0</v>
      </c>
      <c r="P71" s="119">
        <f t="shared" si="11"/>
        <v>0</v>
      </c>
      <c r="Q71" s="119">
        <f t="shared" si="11"/>
        <v>14</v>
      </c>
      <c r="R71" s="119">
        <f t="shared" si="11"/>
        <v>0</v>
      </c>
      <c r="S71" s="119">
        <f t="shared" si="11"/>
        <v>6</v>
      </c>
      <c r="T71" s="119">
        <f t="shared" si="11"/>
        <v>0</v>
      </c>
      <c r="U71" s="119">
        <f t="shared" si="11"/>
        <v>4</v>
      </c>
      <c r="V71" s="119">
        <f t="shared" si="11"/>
        <v>0</v>
      </c>
      <c r="W71" s="119">
        <f t="shared" si="11"/>
        <v>13</v>
      </c>
      <c r="X71" s="119">
        <f t="shared" si="11"/>
        <v>0</v>
      </c>
      <c r="Y71" s="119">
        <f t="shared" si="11"/>
        <v>7</v>
      </c>
      <c r="Z71" s="119">
        <f>SUM(Z69:Z70)</f>
        <v>44</v>
      </c>
      <c r="AA71" s="121">
        <f t="shared" si="5"/>
        <v>-4.3478260869565188E-2</v>
      </c>
      <c r="AB71" s="1212"/>
      <c r="AC71" s="1212"/>
      <c r="AD71" s="1212"/>
      <c r="AE71" s="1212"/>
      <c r="AF71" s="119">
        <f>SUM(AF69:AF70)</f>
        <v>0</v>
      </c>
      <c r="AG71" s="119">
        <f t="shared" ref="AG71:AO71" si="12">SUM(AG69:AG70)</f>
        <v>9</v>
      </c>
      <c r="AH71" s="119">
        <f t="shared" si="12"/>
        <v>0</v>
      </c>
      <c r="AI71" s="119">
        <f t="shared" si="12"/>
        <v>0</v>
      </c>
      <c r="AJ71" s="119">
        <f t="shared" si="12"/>
        <v>12</v>
      </c>
      <c r="AK71" s="119">
        <f t="shared" si="12"/>
        <v>0</v>
      </c>
      <c r="AL71" s="119">
        <f t="shared" si="12"/>
        <v>0</v>
      </c>
      <c r="AM71" s="119">
        <f t="shared" si="12"/>
        <v>8</v>
      </c>
      <c r="AN71" s="119">
        <f t="shared" si="12"/>
        <v>0</v>
      </c>
      <c r="AO71" s="119">
        <f t="shared" si="12"/>
        <v>0</v>
      </c>
      <c r="AP71" s="119">
        <f>SUM(AP69:AP70)</f>
        <v>0</v>
      </c>
      <c r="AQ71" s="119">
        <f>SUM(AQ69:AQ70)</f>
        <v>0</v>
      </c>
      <c r="AR71" s="119">
        <f>SUM(AR69:AR70)</f>
        <v>29</v>
      </c>
      <c r="AS71" s="121">
        <f t="shared" si="3"/>
        <v>-0.34090909090909094</v>
      </c>
      <c r="AT71" s="1212"/>
      <c r="AU71" s="1212"/>
      <c r="AV71" s="1212"/>
      <c r="AW71" s="1212"/>
    </row>
    <row r="72" spans="2:49" ht="42.75" customHeight="1" x14ac:dyDescent="0.3">
      <c r="B72" s="29"/>
      <c r="C72" s="30"/>
      <c r="D72" s="30"/>
      <c r="G72" s="1227" t="s">
        <v>438</v>
      </c>
      <c r="H72" s="114" t="s">
        <v>434</v>
      </c>
      <c r="I72" s="52">
        <v>124</v>
      </c>
      <c r="J72" s="115">
        <v>77</v>
      </c>
      <c r="K72" s="115">
        <v>68</v>
      </c>
      <c r="L72" s="116">
        <f t="shared" si="1"/>
        <v>5.666666666666667</v>
      </c>
      <c r="M72" s="117">
        <f t="shared" si="2"/>
        <v>1.36</v>
      </c>
      <c r="N72" s="43">
        <v>5</v>
      </c>
      <c r="O72" s="43">
        <v>4</v>
      </c>
      <c r="P72" s="43">
        <v>4</v>
      </c>
      <c r="Q72" s="43">
        <v>5</v>
      </c>
      <c r="R72" s="43">
        <v>2</v>
      </c>
      <c r="S72" s="43">
        <v>5</v>
      </c>
      <c r="T72" s="43">
        <v>3</v>
      </c>
      <c r="U72" s="43">
        <v>5</v>
      </c>
      <c r="V72" s="117">
        <v>6</v>
      </c>
      <c r="W72" s="117">
        <v>8</v>
      </c>
      <c r="X72" s="43">
        <v>8</v>
      </c>
      <c r="Y72" s="43">
        <v>8</v>
      </c>
      <c r="Z72" s="115">
        <f>SUM(N72:Y72)</f>
        <v>63</v>
      </c>
      <c r="AA72" s="118">
        <f t="shared" si="5"/>
        <v>-7.3529411764705843E-2</v>
      </c>
      <c r="AB72" s="1212"/>
      <c r="AC72" s="1212"/>
      <c r="AD72" s="1212"/>
      <c r="AE72" s="1212"/>
      <c r="AF72" s="43">
        <v>4</v>
      </c>
      <c r="AG72" s="43">
        <v>5</v>
      </c>
      <c r="AH72" s="43">
        <v>5</v>
      </c>
      <c r="AI72" s="43">
        <v>5</v>
      </c>
      <c r="AJ72" s="43">
        <v>5</v>
      </c>
      <c r="AK72" s="43">
        <v>6</v>
      </c>
      <c r="AL72" s="43">
        <v>5</v>
      </c>
      <c r="AM72" s="43">
        <v>6</v>
      </c>
      <c r="AN72" s="117">
        <v>6</v>
      </c>
      <c r="AO72" s="117"/>
      <c r="AP72" s="43"/>
      <c r="AQ72" s="43"/>
      <c r="AR72" s="115">
        <f>SUM(AF72:AQ72)</f>
        <v>47</v>
      </c>
      <c r="AS72" s="118">
        <f t="shared" si="3"/>
        <v>-0.25396825396825395</v>
      </c>
      <c r="AT72" s="1212"/>
      <c r="AU72" s="1212"/>
      <c r="AV72" s="1212"/>
      <c r="AW72" s="1212"/>
    </row>
    <row r="73" spans="2:49" ht="42.75" customHeight="1" x14ac:dyDescent="0.3">
      <c r="B73" s="29"/>
      <c r="C73" s="30"/>
      <c r="D73" s="30"/>
      <c r="G73" s="1227"/>
      <c r="H73" s="114" t="s">
        <v>435</v>
      </c>
      <c r="I73" s="52">
        <v>59.800000000000004</v>
      </c>
      <c r="J73" s="115">
        <v>16</v>
      </c>
      <c r="K73" s="115">
        <v>18</v>
      </c>
      <c r="L73" s="116">
        <f t="shared" si="1"/>
        <v>1.5</v>
      </c>
      <c r="M73" s="117">
        <f t="shared" si="2"/>
        <v>0.36</v>
      </c>
      <c r="N73" s="43">
        <v>1</v>
      </c>
      <c r="O73" s="43"/>
      <c r="P73" s="43">
        <v>3</v>
      </c>
      <c r="Q73" s="43">
        <v>1</v>
      </c>
      <c r="R73" s="43">
        <v>1</v>
      </c>
      <c r="S73" s="43">
        <v>2</v>
      </c>
      <c r="T73" s="43"/>
      <c r="U73" s="43"/>
      <c r="V73" s="117">
        <v>1</v>
      </c>
      <c r="W73" s="117">
        <v>3</v>
      </c>
      <c r="X73" s="43">
        <v>3</v>
      </c>
      <c r="Y73" s="43">
        <v>3</v>
      </c>
      <c r="Z73" s="115">
        <f>SUM(N73:Y73)</f>
        <v>18</v>
      </c>
      <c r="AA73" s="118">
        <f t="shared" si="5"/>
        <v>0</v>
      </c>
      <c r="AB73" s="1212"/>
      <c r="AC73" s="1212"/>
      <c r="AD73" s="1212"/>
      <c r="AE73" s="1212"/>
      <c r="AF73" s="43">
        <v>1</v>
      </c>
      <c r="AG73" s="43">
        <v>1</v>
      </c>
      <c r="AH73" s="43">
        <v>2</v>
      </c>
      <c r="AI73" s="43">
        <v>1</v>
      </c>
      <c r="AJ73" s="43">
        <v>1</v>
      </c>
      <c r="AK73" s="43">
        <v>2</v>
      </c>
      <c r="AL73" s="43">
        <v>1</v>
      </c>
      <c r="AM73" s="43">
        <v>1</v>
      </c>
      <c r="AN73" s="117">
        <v>2</v>
      </c>
      <c r="AO73" s="117"/>
      <c r="AP73" s="43"/>
      <c r="AQ73" s="43"/>
      <c r="AR73" s="115">
        <f>SUM(AF73:AQ73)</f>
        <v>12</v>
      </c>
      <c r="AS73" s="118">
        <f t="shared" si="3"/>
        <v>-0.33333333333333337</v>
      </c>
      <c r="AT73" s="1212"/>
      <c r="AU73" s="1212"/>
      <c r="AV73" s="1212"/>
      <c r="AW73" s="1212"/>
    </row>
    <row r="74" spans="2:49" ht="42.75" customHeight="1" x14ac:dyDescent="0.3">
      <c r="B74" s="29"/>
      <c r="C74" s="30"/>
      <c r="D74" s="30"/>
      <c r="G74" s="1227"/>
      <c r="H74" s="114" t="s">
        <v>81</v>
      </c>
      <c r="I74" s="119">
        <v>183.8</v>
      </c>
      <c r="J74" s="119">
        <v>93</v>
      </c>
      <c r="K74" s="119">
        <v>86</v>
      </c>
      <c r="L74" s="120">
        <f t="shared" si="1"/>
        <v>7.166666666666667</v>
      </c>
      <c r="M74" s="120">
        <f t="shared" si="2"/>
        <v>1.72</v>
      </c>
      <c r="N74" s="119">
        <f>SUM(N72:N73)</f>
        <v>6</v>
      </c>
      <c r="O74" s="119">
        <f t="shared" ref="O74:V74" si="13">SUM(O72:O73)</f>
        <v>4</v>
      </c>
      <c r="P74" s="119">
        <f t="shared" si="13"/>
        <v>7</v>
      </c>
      <c r="Q74" s="119">
        <f t="shared" si="13"/>
        <v>6</v>
      </c>
      <c r="R74" s="119">
        <f t="shared" si="13"/>
        <v>3</v>
      </c>
      <c r="S74" s="119">
        <f t="shared" si="13"/>
        <v>7</v>
      </c>
      <c r="T74" s="119">
        <f t="shared" si="13"/>
        <v>3</v>
      </c>
      <c r="U74" s="119">
        <f t="shared" si="13"/>
        <v>5</v>
      </c>
      <c r="V74" s="119">
        <f t="shared" si="13"/>
        <v>7</v>
      </c>
      <c r="W74" s="119">
        <f>SUM(W72:W73)</f>
        <v>11</v>
      </c>
      <c r="X74" s="119">
        <f>SUM(X72:X73)</f>
        <v>11</v>
      </c>
      <c r="Y74" s="119">
        <f>SUM(Y72:Y73)</f>
        <v>11</v>
      </c>
      <c r="Z74" s="119">
        <f>SUM(Z72:Z73)</f>
        <v>81</v>
      </c>
      <c r="AA74" s="121">
        <f t="shared" si="5"/>
        <v>-5.8139534883720922E-2</v>
      </c>
      <c r="AB74" s="1212"/>
      <c r="AC74" s="1212"/>
      <c r="AD74" s="1212"/>
      <c r="AE74" s="1212"/>
      <c r="AF74" s="119">
        <f>SUM(AF72:AF73)</f>
        <v>5</v>
      </c>
      <c r="AG74" s="119">
        <f t="shared" ref="AG74:AO74" si="14">SUM(AG72:AG73)</f>
        <v>6</v>
      </c>
      <c r="AH74" s="119">
        <f t="shared" si="14"/>
        <v>7</v>
      </c>
      <c r="AI74" s="119">
        <f t="shared" si="14"/>
        <v>6</v>
      </c>
      <c r="AJ74" s="119">
        <f t="shared" si="14"/>
        <v>6</v>
      </c>
      <c r="AK74" s="119">
        <f t="shared" si="14"/>
        <v>8</v>
      </c>
      <c r="AL74" s="119">
        <f t="shared" si="14"/>
        <v>6</v>
      </c>
      <c r="AM74" s="119">
        <f t="shared" si="14"/>
        <v>7</v>
      </c>
      <c r="AN74" s="119">
        <f t="shared" si="14"/>
        <v>8</v>
      </c>
      <c r="AO74" s="119">
        <f t="shared" si="14"/>
        <v>0</v>
      </c>
      <c r="AP74" s="119">
        <f>SUM(AP72:AP73)</f>
        <v>0</v>
      </c>
      <c r="AQ74" s="119">
        <f>SUM(AQ72:AQ73)</f>
        <v>0</v>
      </c>
      <c r="AR74" s="119">
        <f>SUM(AR72:AR73)</f>
        <v>59</v>
      </c>
      <c r="AS74" s="121">
        <f t="shared" si="3"/>
        <v>-0.27160493827160492</v>
      </c>
      <c r="AT74" s="1212"/>
      <c r="AU74" s="1212"/>
      <c r="AV74" s="1212"/>
      <c r="AW74" s="1212"/>
    </row>
    <row r="75" spans="2:49" ht="42.75" customHeight="1" x14ac:dyDescent="0.3">
      <c r="B75" s="29"/>
      <c r="C75" s="30"/>
      <c r="D75" s="30"/>
      <c r="G75" s="1227" t="s">
        <v>439</v>
      </c>
      <c r="H75" s="114" t="s">
        <v>434</v>
      </c>
      <c r="I75" s="52">
        <v>140</v>
      </c>
      <c r="J75" s="115">
        <v>48</v>
      </c>
      <c r="K75" s="115">
        <v>43</v>
      </c>
      <c r="L75" s="116">
        <f t="shared" si="1"/>
        <v>3.5833333333333335</v>
      </c>
      <c r="M75" s="117">
        <f t="shared" si="2"/>
        <v>0.86</v>
      </c>
      <c r="N75" s="43">
        <v>4</v>
      </c>
      <c r="O75" s="43">
        <v>5</v>
      </c>
      <c r="P75" s="43">
        <v>2</v>
      </c>
      <c r="Q75" s="43"/>
      <c r="R75" s="43">
        <v>2</v>
      </c>
      <c r="S75" s="43">
        <v>2</v>
      </c>
      <c r="T75" s="43">
        <v>5</v>
      </c>
      <c r="U75" s="43">
        <v>5</v>
      </c>
      <c r="V75" s="117">
        <v>5</v>
      </c>
      <c r="W75" s="117">
        <v>3</v>
      </c>
      <c r="X75" s="117">
        <v>4</v>
      </c>
      <c r="Y75" s="117">
        <v>5</v>
      </c>
      <c r="Z75" s="115">
        <f>SUM(N75:Y75)</f>
        <v>42</v>
      </c>
      <c r="AA75" s="118">
        <f t="shared" si="5"/>
        <v>-2.3255813953488413E-2</v>
      </c>
      <c r="AB75" s="1212"/>
      <c r="AC75" s="1212"/>
      <c r="AD75" s="1212"/>
      <c r="AE75" s="1212"/>
      <c r="AF75" s="43">
        <v>4</v>
      </c>
      <c r="AG75" s="43">
        <v>5</v>
      </c>
      <c r="AH75" s="43">
        <v>2</v>
      </c>
      <c r="AI75" s="43"/>
      <c r="AJ75" s="43">
        <v>2</v>
      </c>
      <c r="AK75" s="43">
        <v>2</v>
      </c>
      <c r="AL75" s="43">
        <v>5</v>
      </c>
      <c r="AM75" s="43">
        <v>5</v>
      </c>
      <c r="AN75" s="117">
        <v>5</v>
      </c>
      <c r="AO75" s="117"/>
      <c r="AP75" s="117"/>
      <c r="AQ75" s="117"/>
      <c r="AR75" s="115">
        <f>SUM(AF75:AQ75)</f>
        <v>30</v>
      </c>
      <c r="AS75" s="118">
        <f t="shared" si="3"/>
        <v>-0.2857142857142857</v>
      </c>
      <c r="AT75" s="1212"/>
      <c r="AU75" s="1212"/>
      <c r="AV75" s="1212"/>
      <c r="AW75" s="1212"/>
    </row>
    <row r="76" spans="2:49" ht="42.75" customHeight="1" x14ac:dyDescent="0.3">
      <c r="B76" s="29"/>
      <c r="C76" s="30"/>
      <c r="D76" s="30"/>
      <c r="G76" s="1227"/>
      <c r="H76" s="114" t="s">
        <v>435</v>
      </c>
      <c r="I76" s="52">
        <v>65</v>
      </c>
      <c r="J76" s="115">
        <v>31</v>
      </c>
      <c r="K76" s="115">
        <v>36</v>
      </c>
      <c r="L76" s="116">
        <f t="shared" si="1"/>
        <v>3</v>
      </c>
      <c r="M76" s="117">
        <f t="shared" si="2"/>
        <v>0.72</v>
      </c>
      <c r="N76" s="43">
        <v>1</v>
      </c>
      <c r="O76" s="43"/>
      <c r="P76" s="43">
        <v>3</v>
      </c>
      <c r="Q76" s="43">
        <v>2</v>
      </c>
      <c r="R76" s="43">
        <v>2</v>
      </c>
      <c r="S76" s="43">
        <v>4</v>
      </c>
      <c r="T76" s="43">
        <v>4</v>
      </c>
      <c r="U76" s="43">
        <v>0</v>
      </c>
      <c r="V76" s="117">
        <v>4</v>
      </c>
      <c r="W76" s="117">
        <v>5</v>
      </c>
      <c r="X76" s="117">
        <v>5</v>
      </c>
      <c r="Y76" s="117">
        <v>5</v>
      </c>
      <c r="Z76" s="115">
        <f>SUM(N76:Y76)</f>
        <v>35</v>
      </c>
      <c r="AA76" s="118">
        <f t="shared" si="5"/>
        <v>-2.777777777777779E-2</v>
      </c>
      <c r="AB76" s="1212"/>
      <c r="AC76" s="1212"/>
      <c r="AD76" s="1212"/>
      <c r="AE76" s="1212"/>
      <c r="AF76" s="43">
        <v>1</v>
      </c>
      <c r="AG76" s="43">
        <v>2</v>
      </c>
      <c r="AH76" s="43">
        <v>3</v>
      </c>
      <c r="AI76" s="43">
        <v>2</v>
      </c>
      <c r="AJ76" s="43">
        <v>2</v>
      </c>
      <c r="AK76" s="43">
        <v>3</v>
      </c>
      <c r="AL76" s="43">
        <v>4</v>
      </c>
      <c r="AM76" s="43">
        <v>2</v>
      </c>
      <c r="AN76" s="117">
        <v>4</v>
      </c>
      <c r="AO76" s="117"/>
      <c r="AP76" s="117"/>
      <c r="AQ76" s="117"/>
      <c r="AR76" s="115">
        <f>SUM(AF76:AQ76)</f>
        <v>23</v>
      </c>
      <c r="AS76" s="118">
        <f t="shared" si="3"/>
        <v>-0.34285714285714286</v>
      </c>
      <c r="AT76" s="1212"/>
      <c r="AU76" s="1212"/>
      <c r="AV76" s="1212"/>
      <c r="AW76" s="1212"/>
    </row>
    <row r="77" spans="2:49" ht="42.75" customHeight="1" x14ac:dyDescent="0.3">
      <c r="B77" s="29"/>
      <c r="C77" s="30"/>
      <c r="D77" s="30"/>
      <c r="G77" s="1227"/>
      <c r="H77" s="114" t="s">
        <v>81</v>
      </c>
      <c r="I77" s="119">
        <v>205</v>
      </c>
      <c r="J77" s="119">
        <v>79</v>
      </c>
      <c r="K77" s="119">
        <v>79</v>
      </c>
      <c r="L77" s="120">
        <f t="shared" si="1"/>
        <v>6.583333333333333</v>
      </c>
      <c r="M77" s="120">
        <f t="shared" si="2"/>
        <v>1.58</v>
      </c>
      <c r="N77" s="119">
        <f>SUM(N75:N76)</f>
        <v>5</v>
      </c>
      <c r="O77" s="119">
        <f t="shared" ref="O77:V77" si="15">SUM(O75:O76)</f>
        <v>5</v>
      </c>
      <c r="P77" s="119">
        <f t="shared" si="15"/>
        <v>5</v>
      </c>
      <c r="Q77" s="119">
        <f t="shared" si="15"/>
        <v>2</v>
      </c>
      <c r="R77" s="119">
        <f t="shared" si="15"/>
        <v>4</v>
      </c>
      <c r="S77" s="119">
        <f t="shared" si="15"/>
        <v>6</v>
      </c>
      <c r="T77" s="119">
        <f t="shared" si="15"/>
        <v>9</v>
      </c>
      <c r="U77" s="119">
        <f t="shared" si="15"/>
        <v>5</v>
      </c>
      <c r="V77" s="119">
        <f t="shared" si="15"/>
        <v>9</v>
      </c>
      <c r="W77" s="119">
        <f>SUM(W75:W76)</f>
        <v>8</v>
      </c>
      <c r="X77" s="119">
        <f>SUM(X75:X76)</f>
        <v>9</v>
      </c>
      <c r="Y77" s="119">
        <f>SUM(Y75:Y76)</f>
        <v>10</v>
      </c>
      <c r="Z77" s="119">
        <f>SUM(Z75:Z76)</f>
        <v>77</v>
      </c>
      <c r="AA77" s="121">
        <f t="shared" si="5"/>
        <v>-2.5316455696202556E-2</v>
      </c>
      <c r="AB77" s="1212"/>
      <c r="AC77" s="1212"/>
      <c r="AD77" s="1212"/>
      <c r="AE77" s="1212"/>
      <c r="AF77" s="119">
        <f>SUM(AF75:AF76)</f>
        <v>5</v>
      </c>
      <c r="AG77" s="119">
        <f t="shared" ref="AG77:AO77" si="16">SUM(AG75:AG76)</f>
        <v>7</v>
      </c>
      <c r="AH77" s="119">
        <f t="shared" si="16"/>
        <v>5</v>
      </c>
      <c r="AI77" s="119">
        <f t="shared" si="16"/>
        <v>2</v>
      </c>
      <c r="AJ77" s="119">
        <f t="shared" si="16"/>
        <v>4</v>
      </c>
      <c r="AK77" s="119">
        <f t="shared" si="16"/>
        <v>5</v>
      </c>
      <c r="AL77" s="119">
        <f t="shared" si="16"/>
        <v>9</v>
      </c>
      <c r="AM77" s="119">
        <f t="shared" si="16"/>
        <v>7</v>
      </c>
      <c r="AN77" s="119">
        <f t="shared" si="16"/>
        <v>9</v>
      </c>
      <c r="AO77" s="119">
        <f t="shared" si="16"/>
        <v>0</v>
      </c>
      <c r="AP77" s="119">
        <f>SUM(AP75:AP76)</f>
        <v>0</v>
      </c>
      <c r="AQ77" s="119">
        <f>SUM(AQ75:AQ76)</f>
        <v>0</v>
      </c>
      <c r="AR77" s="119">
        <f>SUM(AR75:AR76)</f>
        <v>53</v>
      </c>
      <c r="AS77" s="121">
        <f t="shared" si="3"/>
        <v>-0.31168831168831168</v>
      </c>
      <c r="AT77" s="1212"/>
      <c r="AU77" s="1212"/>
      <c r="AV77" s="1212"/>
      <c r="AW77" s="1212"/>
    </row>
    <row r="78" spans="2:49" ht="42.75" customHeight="1" x14ac:dyDescent="0.3">
      <c r="B78" s="29"/>
      <c r="C78" s="30"/>
      <c r="D78" s="30"/>
      <c r="G78" s="1227" t="s">
        <v>440</v>
      </c>
      <c r="H78" s="114" t="s">
        <v>434</v>
      </c>
      <c r="I78" s="52">
        <v>147</v>
      </c>
      <c r="J78" s="115">
        <v>50</v>
      </c>
      <c r="K78" s="115">
        <v>60</v>
      </c>
      <c r="L78" s="116">
        <f t="shared" si="1"/>
        <v>5</v>
      </c>
      <c r="M78" s="117">
        <f t="shared" si="2"/>
        <v>1.2</v>
      </c>
      <c r="N78" s="43">
        <v>5</v>
      </c>
      <c r="O78" s="43">
        <v>0</v>
      </c>
      <c r="P78" s="43">
        <v>0</v>
      </c>
      <c r="Q78" s="43">
        <v>0</v>
      </c>
      <c r="R78" s="43">
        <v>3</v>
      </c>
      <c r="S78" s="43">
        <v>0</v>
      </c>
      <c r="T78" s="43">
        <v>0</v>
      </c>
      <c r="U78" s="43">
        <v>5</v>
      </c>
      <c r="V78" s="117">
        <v>7</v>
      </c>
      <c r="W78" s="117">
        <v>9</v>
      </c>
      <c r="X78" s="43">
        <v>9</v>
      </c>
      <c r="Y78" s="43">
        <v>9</v>
      </c>
      <c r="Z78" s="115">
        <f>SUM(N78:Y78)</f>
        <v>47</v>
      </c>
      <c r="AA78" s="118">
        <f t="shared" si="5"/>
        <v>-0.21666666666666667</v>
      </c>
      <c r="AB78" s="1212"/>
      <c r="AC78" s="1212"/>
      <c r="AD78" s="1212"/>
      <c r="AE78" s="1212"/>
      <c r="AF78" s="43">
        <v>3</v>
      </c>
      <c r="AG78" s="43">
        <v>4</v>
      </c>
      <c r="AH78" s="43">
        <v>5</v>
      </c>
      <c r="AI78" s="43">
        <v>4</v>
      </c>
      <c r="AJ78" s="43">
        <v>4</v>
      </c>
      <c r="AK78" s="43">
        <v>5</v>
      </c>
      <c r="AL78" s="43">
        <v>4</v>
      </c>
      <c r="AM78" s="43">
        <v>5</v>
      </c>
      <c r="AN78" s="117">
        <v>6</v>
      </c>
      <c r="AO78" s="117"/>
      <c r="AP78" s="43"/>
      <c r="AQ78" s="43"/>
      <c r="AR78" s="115">
        <f>SUM(AF78:AQ78)</f>
        <v>40</v>
      </c>
      <c r="AS78" s="118">
        <f t="shared" si="3"/>
        <v>-0.14893617021276595</v>
      </c>
      <c r="AT78" s="1212"/>
      <c r="AU78" s="1212"/>
      <c r="AV78" s="1212"/>
      <c r="AW78" s="1212"/>
    </row>
    <row r="79" spans="2:49" ht="42.75" customHeight="1" x14ac:dyDescent="0.3">
      <c r="B79" s="29"/>
      <c r="C79" s="30"/>
      <c r="D79" s="30"/>
      <c r="G79" s="1227"/>
      <c r="H79" s="114" t="s">
        <v>435</v>
      </c>
      <c r="I79" s="52">
        <v>70.2</v>
      </c>
      <c r="J79" s="115">
        <v>45</v>
      </c>
      <c r="K79" s="115">
        <v>34</v>
      </c>
      <c r="L79" s="116">
        <f t="shared" si="1"/>
        <v>2.8333333333333335</v>
      </c>
      <c r="M79" s="117">
        <f t="shared" si="2"/>
        <v>0.68</v>
      </c>
      <c r="N79" s="43">
        <v>0</v>
      </c>
      <c r="O79" s="43">
        <v>0</v>
      </c>
      <c r="P79" s="43">
        <v>0</v>
      </c>
      <c r="Q79" s="43">
        <v>0</v>
      </c>
      <c r="R79" s="43">
        <v>2</v>
      </c>
      <c r="S79" s="43">
        <v>0</v>
      </c>
      <c r="T79" s="43">
        <v>0</v>
      </c>
      <c r="U79" s="43">
        <v>1</v>
      </c>
      <c r="V79" s="117">
        <v>2</v>
      </c>
      <c r="W79" s="117">
        <v>9</v>
      </c>
      <c r="X79" s="43">
        <v>9</v>
      </c>
      <c r="Y79" s="43">
        <v>9</v>
      </c>
      <c r="Z79" s="115">
        <f>SUM(N79:Y79)</f>
        <v>32</v>
      </c>
      <c r="AA79" s="118">
        <f t="shared" si="5"/>
        <v>-5.8823529411764719E-2</v>
      </c>
      <c r="AB79" s="1212"/>
      <c r="AC79" s="1212"/>
      <c r="AD79" s="1212"/>
      <c r="AE79" s="1212"/>
      <c r="AF79" s="43">
        <v>4</v>
      </c>
      <c r="AG79" s="43">
        <v>3</v>
      </c>
      <c r="AH79" s="43">
        <v>4</v>
      </c>
      <c r="AI79" s="43">
        <v>2</v>
      </c>
      <c r="AJ79" s="43">
        <v>2</v>
      </c>
      <c r="AK79" s="43">
        <v>4</v>
      </c>
      <c r="AL79" s="43">
        <v>2</v>
      </c>
      <c r="AM79" s="43">
        <v>2</v>
      </c>
      <c r="AN79" s="117">
        <v>2</v>
      </c>
      <c r="AO79" s="117"/>
      <c r="AP79" s="43"/>
      <c r="AQ79" s="43"/>
      <c r="AR79" s="115">
        <f>SUM(AF79:AQ79)</f>
        <v>25</v>
      </c>
      <c r="AS79" s="118">
        <f t="shared" si="3"/>
        <v>-0.21875</v>
      </c>
      <c r="AT79" s="1212"/>
      <c r="AU79" s="1212"/>
      <c r="AV79" s="1212"/>
      <c r="AW79" s="1212"/>
    </row>
    <row r="80" spans="2:49" ht="42.75" customHeight="1" x14ac:dyDescent="0.3">
      <c r="B80" s="29"/>
      <c r="C80" s="30"/>
      <c r="D80" s="30"/>
      <c r="G80" s="1227"/>
      <c r="H80" s="114" t="s">
        <v>81</v>
      </c>
      <c r="I80" s="119">
        <v>217.2</v>
      </c>
      <c r="J80" s="119">
        <v>95</v>
      </c>
      <c r="K80" s="119">
        <v>94</v>
      </c>
      <c r="L80" s="120">
        <f t="shared" si="1"/>
        <v>7.833333333333333</v>
      </c>
      <c r="M80" s="120">
        <f t="shared" si="2"/>
        <v>1.8800000000000001</v>
      </c>
      <c r="N80" s="119">
        <f>SUM(N78:N79)</f>
        <v>5</v>
      </c>
      <c r="O80" s="119">
        <f t="shared" ref="O80:U80" si="17">SUM(O78:O79)</f>
        <v>0</v>
      </c>
      <c r="P80" s="119">
        <f t="shared" si="17"/>
        <v>0</v>
      </c>
      <c r="Q80" s="119">
        <f t="shared" si="17"/>
        <v>0</v>
      </c>
      <c r="R80" s="119">
        <f t="shared" si="17"/>
        <v>5</v>
      </c>
      <c r="S80" s="119">
        <f t="shared" si="17"/>
        <v>0</v>
      </c>
      <c r="T80" s="119">
        <f t="shared" si="17"/>
        <v>0</v>
      </c>
      <c r="U80" s="119">
        <f t="shared" si="17"/>
        <v>6</v>
      </c>
      <c r="V80" s="119">
        <f>SUM(V78:V79)</f>
        <v>9</v>
      </c>
      <c r="W80" s="119">
        <f>SUM(W78:W79)</f>
        <v>18</v>
      </c>
      <c r="X80" s="119">
        <f>SUM(X78:X79)</f>
        <v>18</v>
      </c>
      <c r="Y80" s="119">
        <f>SUM(Y78:Y79)</f>
        <v>18</v>
      </c>
      <c r="Z80" s="119">
        <f>SUM(Z78:Z79)</f>
        <v>79</v>
      </c>
      <c r="AA80" s="121">
        <f>+(Z80/K80)-1</f>
        <v>-0.15957446808510634</v>
      </c>
      <c r="AB80" s="1212"/>
      <c r="AC80" s="1212"/>
      <c r="AD80" s="1212"/>
      <c r="AE80" s="1212"/>
      <c r="AF80" s="119">
        <f>SUM(AF78:AF79)</f>
        <v>7</v>
      </c>
      <c r="AG80" s="119">
        <f t="shared" ref="AG80:AO80" si="18">SUM(AG78:AG79)</f>
        <v>7</v>
      </c>
      <c r="AH80" s="119">
        <f t="shared" si="18"/>
        <v>9</v>
      </c>
      <c r="AI80" s="119">
        <f t="shared" si="18"/>
        <v>6</v>
      </c>
      <c r="AJ80" s="119">
        <f t="shared" si="18"/>
        <v>6</v>
      </c>
      <c r="AK80" s="119">
        <f t="shared" si="18"/>
        <v>9</v>
      </c>
      <c r="AL80" s="119">
        <f t="shared" si="18"/>
        <v>6</v>
      </c>
      <c r="AM80" s="119">
        <f t="shared" si="18"/>
        <v>7</v>
      </c>
      <c r="AN80" s="119">
        <f t="shared" si="18"/>
        <v>8</v>
      </c>
      <c r="AO80" s="119">
        <f t="shared" si="18"/>
        <v>0</v>
      </c>
      <c r="AP80" s="119">
        <f>SUM(AP78:AP79)</f>
        <v>0</v>
      </c>
      <c r="AQ80" s="119">
        <f>SUM(AQ78:AQ79)</f>
        <v>0</v>
      </c>
      <c r="AR80" s="119">
        <f>SUM(AR78:AR79)</f>
        <v>65</v>
      </c>
      <c r="AS80" s="121">
        <f t="shared" si="3"/>
        <v>-0.17721518987341767</v>
      </c>
      <c r="AT80" s="1212"/>
      <c r="AU80" s="1212"/>
      <c r="AV80" s="1212"/>
      <c r="AW80" s="1212"/>
    </row>
    <row r="81" spans="1:50" ht="42.75" customHeight="1" x14ac:dyDescent="0.3">
      <c r="B81" s="29"/>
      <c r="C81" s="30"/>
      <c r="D81" s="30"/>
      <c r="G81" s="1227" t="s">
        <v>81</v>
      </c>
      <c r="H81" s="114" t="s">
        <v>434</v>
      </c>
      <c r="I81" s="52">
        <v>550</v>
      </c>
      <c r="J81" s="115">
        <v>308</v>
      </c>
      <c r="K81" s="115">
        <v>264</v>
      </c>
      <c r="L81" s="116">
        <f t="shared" si="1"/>
        <v>22</v>
      </c>
      <c r="M81" s="117">
        <f t="shared" si="2"/>
        <v>5.28</v>
      </c>
      <c r="N81" s="43">
        <f>+N60+N63+N66+N69+N72+N75+N78</f>
        <v>20</v>
      </c>
      <c r="O81" s="43">
        <f t="shared" ref="O81:Z83" si="19">+O60+O63+O66+O69+O72+O75+O78</f>
        <v>13</v>
      </c>
      <c r="P81" s="43">
        <f t="shared" si="19"/>
        <v>9</v>
      </c>
      <c r="Q81" s="43">
        <f t="shared" si="19"/>
        <v>22</v>
      </c>
      <c r="R81" s="43">
        <f t="shared" si="19"/>
        <v>9</v>
      </c>
      <c r="S81" s="43">
        <f t="shared" si="19"/>
        <v>19</v>
      </c>
      <c r="T81" s="43">
        <f t="shared" si="19"/>
        <v>11</v>
      </c>
      <c r="U81" s="43">
        <f t="shared" si="19"/>
        <v>24</v>
      </c>
      <c r="V81" s="43">
        <f t="shared" si="19"/>
        <v>21.5</v>
      </c>
      <c r="W81" s="43">
        <f t="shared" si="19"/>
        <v>36</v>
      </c>
      <c r="X81" s="43">
        <f t="shared" si="19"/>
        <v>28</v>
      </c>
      <c r="Y81" s="43">
        <f t="shared" si="19"/>
        <v>31</v>
      </c>
      <c r="Z81" s="115">
        <f>SUM(N81:Y81)</f>
        <v>243.5</v>
      </c>
      <c r="AA81" s="118">
        <f t="shared" si="5"/>
        <v>-7.7651515151515138E-2</v>
      </c>
      <c r="AB81" s="1212"/>
      <c r="AC81" s="1212"/>
      <c r="AD81" s="1212"/>
      <c r="AE81" s="1212"/>
      <c r="AF81" s="43">
        <f>+AF60+AF63+AF66+AF69+AF72+AF75+AF78</f>
        <v>16</v>
      </c>
      <c r="AG81" s="43">
        <f t="shared" ref="AG81:AO82" si="20">+AG60+AG63+AG66+AG69+AG72+AG75+AG78</f>
        <v>24</v>
      </c>
      <c r="AH81" s="43">
        <f t="shared" si="20"/>
        <v>16</v>
      </c>
      <c r="AI81" s="43">
        <f t="shared" si="20"/>
        <v>13</v>
      </c>
      <c r="AJ81" s="43">
        <f t="shared" si="20"/>
        <v>23</v>
      </c>
      <c r="AK81" s="43">
        <f t="shared" si="20"/>
        <v>17</v>
      </c>
      <c r="AL81" s="43">
        <f t="shared" si="20"/>
        <v>19</v>
      </c>
      <c r="AM81" s="43">
        <f t="shared" si="20"/>
        <v>26</v>
      </c>
      <c r="AN81" s="43">
        <f t="shared" si="20"/>
        <v>22</v>
      </c>
      <c r="AO81" s="43">
        <f t="shared" si="20"/>
        <v>0</v>
      </c>
      <c r="AP81" s="43">
        <f t="shared" ref="AP81:AQ83" si="21">+AP60+AP63+AP66+AP69+AP72+AP75+AP78</f>
        <v>0</v>
      </c>
      <c r="AQ81" s="43">
        <f t="shared" si="21"/>
        <v>0</v>
      </c>
      <c r="AR81" s="115">
        <f>SUM(AF81:AQ81)</f>
        <v>176</v>
      </c>
      <c r="AS81" s="118">
        <f t="shared" si="3"/>
        <v>-0.2772073921971252</v>
      </c>
      <c r="AT81" s="1212"/>
      <c r="AU81" s="1212"/>
      <c r="AV81" s="1212"/>
      <c r="AW81" s="1212"/>
    </row>
    <row r="82" spans="1:50" ht="42.75" customHeight="1" x14ac:dyDescent="0.3">
      <c r="B82" s="29"/>
      <c r="C82" s="30"/>
      <c r="D82" s="30"/>
      <c r="G82" s="1227"/>
      <c r="H82" s="114" t="s">
        <v>435</v>
      </c>
      <c r="I82" s="52">
        <v>260</v>
      </c>
      <c r="J82" s="115">
        <v>143</v>
      </c>
      <c r="K82" s="115">
        <v>134</v>
      </c>
      <c r="L82" s="116">
        <f t="shared" si="1"/>
        <v>11.166666666666666</v>
      </c>
      <c r="M82" s="117">
        <f t="shared" si="2"/>
        <v>2.68</v>
      </c>
      <c r="N82" s="43">
        <f>+N61+N64+N67+N70+N73+N76+N79</f>
        <v>2</v>
      </c>
      <c r="O82" s="43">
        <f t="shared" si="19"/>
        <v>1</v>
      </c>
      <c r="P82" s="43">
        <f t="shared" si="19"/>
        <v>9</v>
      </c>
      <c r="Q82" s="43">
        <f t="shared" si="19"/>
        <v>5</v>
      </c>
      <c r="R82" s="43">
        <f t="shared" si="19"/>
        <v>6</v>
      </c>
      <c r="S82" s="43">
        <f t="shared" si="19"/>
        <v>8</v>
      </c>
      <c r="T82" s="43">
        <f t="shared" si="19"/>
        <v>5</v>
      </c>
      <c r="U82" s="43">
        <f t="shared" si="19"/>
        <v>1</v>
      </c>
      <c r="V82" s="43">
        <f t="shared" si="19"/>
        <v>11</v>
      </c>
      <c r="W82" s="43">
        <f t="shared" si="19"/>
        <v>28</v>
      </c>
      <c r="X82" s="43">
        <f t="shared" si="19"/>
        <v>23</v>
      </c>
      <c r="Y82" s="43">
        <f t="shared" si="19"/>
        <v>27</v>
      </c>
      <c r="Z82" s="115">
        <f>SUM(N82:Y82)</f>
        <v>126</v>
      </c>
      <c r="AA82" s="118">
        <f t="shared" si="5"/>
        <v>-5.9701492537313383E-2</v>
      </c>
      <c r="AB82" s="1212"/>
      <c r="AC82" s="1212"/>
      <c r="AD82" s="1212"/>
      <c r="AE82" s="1212"/>
      <c r="AF82" s="43">
        <f>+AF61+AF64+AF67+AF70+AF73+AF76+AF79</f>
        <v>7</v>
      </c>
      <c r="AG82" s="43">
        <f t="shared" si="20"/>
        <v>10</v>
      </c>
      <c r="AH82" s="43">
        <f t="shared" si="20"/>
        <v>13</v>
      </c>
      <c r="AI82" s="43">
        <f t="shared" si="20"/>
        <v>6</v>
      </c>
      <c r="AJ82" s="43">
        <f t="shared" si="20"/>
        <v>11</v>
      </c>
      <c r="AK82" s="43">
        <f t="shared" si="20"/>
        <v>13</v>
      </c>
      <c r="AL82" s="43">
        <f t="shared" si="20"/>
        <v>9</v>
      </c>
      <c r="AM82" s="43">
        <f t="shared" si="20"/>
        <v>9</v>
      </c>
      <c r="AN82" s="43">
        <f t="shared" si="20"/>
        <v>12</v>
      </c>
      <c r="AO82" s="43">
        <f t="shared" si="20"/>
        <v>0</v>
      </c>
      <c r="AP82" s="43">
        <f t="shared" si="21"/>
        <v>0</v>
      </c>
      <c r="AQ82" s="43">
        <f t="shared" si="21"/>
        <v>0</v>
      </c>
      <c r="AR82" s="115">
        <f>SUM(AF82:AQ82)</f>
        <v>90</v>
      </c>
      <c r="AS82" s="118">
        <f t="shared" si="3"/>
        <v>-0.2857142857142857</v>
      </c>
      <c r="AT82" s="1212"/>
      <c r="AU82" s="1212"/>
      <c r="AV82" s="1212"/>
      <c r="AW82" s="1212"/>
    </row>
    <row r="83" spans="1:50" ht="42.75" customHeight="1" x14ac:dyDescent="0.3">
      <c r="B83" s="29"/>
      <c r="C83" s="30"/>
      <c r="D83" s="30"/>
      <c r="G83" s="1227"/>
      <c r="H83" s="114" t="s">
        <v>81</v>
      </c>
      <c r="I83" s="119">
        <v>810</v>
      </c>
      <c r="J83" s="119">
        <v>451</v>
      </c>
      <c r="K83" s="119">
        <v>398</v>
      </c>
      <c r="L83" s="120">
        <f t="shared" si="1"/>
        <v>33.166666666666664</v>
      </c>
      <c r="M83" s="120">
        <f t="shared" si="2"/>
        <v>7.96</v>
      </c>
      <c r="N83" s="119">
        <f>+N62+N65+N68+N71+N74+N77+N80</f>
        <v>22</v>
      </c>
      <c r="O83" s="119">
        <f t="shared" si="19"/>
        <v>14</v>
      </c>
      <c r="P83" s="119">
        <f t="shared" si="19"/>
        <v>18</v>
      </c>
      <c r="Q83" s="119">
        <f t="shared" si="19"/>
        <v>27</v>
      </c>
      <c r="R83" s="119">
        <f t="shared" si="19"/>
        <v>15</v>
      </c>
      <c r="S83" s="119">
        <f t="shared" si="19"/>
        <v>27</v>
      </c>
      <c r="T83" s="119">
        <f t="shared" si="19"/>
        <v>16</v>
      </c>
      <c r="U83" s="119">
        <f t="shared" si="19"/>
        <v>25</v>
      </c>
      <c r="V83" s="119">
        <f t="shared" si="19"/>
        <v>32.5</v>
      </c>
      <c r="W83" s="119">
        <f t="shared" si="19"/>
        <v>64</v>
      </c>
      <c r="X83" s="119">
        <f t="shared" si="19"/>
        <v>51</v>
      </c>
      <c r="Y83" s="119">
        <f t="shared" si="19"/>
        <v>58</v>
      </c>
      <c r="Z83" s="252">
        <f t="shared" si="19"/>
        <v>369.5</v>
      </c>
      <c r="AA83" s="121">
        <f t="shared" si="5"/>
        <v>-7.1608040201004974E-2</v>
      </c>
      <c r="AB83" s="1212"/>
      <c r="AC83" s="1212"/>
      <c r="AD83" s="1212"/>
      <c r="AE83" s="1212"/>
      <c r="AF83" s="119">
        <f>+AF62+AF65+AF68+AF71+AF74+AF77+AF80</f>
        <v>23</v>
      </c>
      <c r="AG83" s="119">
        <f t="shared" ref="AG83:AO83" si="22">+AG62+AG65+AG68+AG71+AG74+AG77+AG80</f>
        <v>34</v>
      </c>
      <c r="AH83" s="119">
        <f t="shared" si="22"/>
        <v>29</v>
      </c>
      <c r="AI83" s="119">
        <f t="shared" si="22"/>
        <v>19</v>
      </c>
      <c r="AJ83" s="119">
        <f t="shared" si="22"/>
        <v>34</v>
      </c>
      <c r="AK83" s="119">
        <f t="shared" si="22"/>
        <v>30</v>
      </c>
      <c r="AL83" s="119">
        <f t="shared" si="22"/>
        <v>28</v>
      </c>
      <c r="AM83" s="119">
        <f t="shared" si="22"/>
        <v>35</v>
      </c>
      <c r="AN83" s="119">
        <f t="shared" si="22"/>
        <v>34</v>
      </c>
      <c r="AO83" s="119">
        <f t="shared" si="22"/>
        <v>0</v>
      </c>
      <c r="AP83" s="119">
        <f t="shared" si="21"/>
        <v>0</v>
      </c>
      <c r="AQ83" s="119">
        <f t="shared" si="21"/>
        <v>0</v>
      </c>
      <c r="AR83" s="119">
        <f>+AR62+AR65+AR68+AR71+AR74+AR77+AR80</f>
        <v>266</v>
      </c>
      <c r="AS83" s="121">
        <f t="shared" si="3"/>
        <v>-0.28010825439783493</v>
      </c>
      <c r="AT83" s="1212"/>
      <c r="AU83" s="1212"/>
      <c r="AV83" s="1212"/>
      <c r="AW83" s="1212"/>
    </row>
    <row r="84" spans="1:50" ht="42.75" customHeight="1" x14ac:dyDescent="0.3">
      <c r="B84" s="29"/>
      <c r="C84" s="30"/>
      <c r="D84" s="30"/>
      <c r="G84" s="36"/>
      <c r="H84" s="37"/>
      <c r="I84" s="37"/>
      <c r="J84" s="37"/>
      <c r="K84" s="38"/>
      <c r="L84" s="38"/>
      <c r="M84" s="38"/>
      <c r="N84" s="38"/>
    </row>
    <row r="85" spans="1:50" ht="15" x14ac:dyDescent="0.3">
      <c r="B85" s="29"/>
      <c r="C85" s="30"/>
      <c r="D85" s="30"/>
      <c r="G85" s="36"/>
      <c r="H85" s="37"/>
      <c r="I85" s="37"/>
      <c r="J85" s="37"/>
      <c r="K85" s="38"/>
      <c r="L85" s="38"/>
      <c r="M85" s="38"/>
      <c r="N85" s="38"/>
    </row>
    <row r="86" spans="1:50" ht="46.5" customHeight="1" x14ac:dyDescent="0.25">
      <c r="A86" s="1154" t="str">
        <f>+D15</f>
        <v>PORCENTAJE (%) DE DISMINUCIÓN DE CONSUMO DE AGUA.</v>
      </c>
      <c r="B86" s="1155"/>
      <c r="C86" s="1155"/>
      <c r="D86" s="1155"/>
      <c r="E86" s="1155"/>
      <c r="F86" s="1155"/>
      <c r="G86" s="1155"/>
      <c r="H86" s="1155"/>
      <c r="I86" s="1155"/>
      <c r="J86" s="1155"/>
      <c r="K86" s="1155"/>
      <c r="L86" s="1155"/>
      <c r="M86" s="1155"/>
      <c r="N86" s="1155"/>
      <c r="O86" s="1155"/>
      <c r="P86" s="1155"/>
      <c r="Q86" s="1155"/>
      <c r="R86" s="1155"/>
      <c r="S86" s="1155"/>
      <c r="T86" s="1155"/>
      <c r="U86" s="1155"/>
      <c r="V86" s="1155"/>
      <c r="W86" s="1155"/>
      <c r="X86" s="1155"/>
      <c r="Y86" s="1155"/>
      <c r="Z86" s="1155"/>
      <c r="AA86" s="1155"/>
      <c r="AB86" s="1155"/>
      <c r="AC86" s="1155"/>
      <c r="AD86" s="1155"/>
      <c r="AE86" s="1156"/>
    </row>
    <row r="87" spans="1:50" x14ac:dyDescent="0.25">
      <c r="A87" s="5"/>
    </row>
    <row r="88" spans="1:50" ht="23" x14ac:dyDescent="0.45">
      <c r="A88" s="26"/>
      <c r="G88" s="31">
        <v>2012</v>
      </c>
      <c r="H88" s="31">
        <v>2013</v>
      </c>
      <c r="I88" s="31">
        <v>2014</v>
      </c>
      <c r="J88" s="31">
        <v>2015</v>
      </c>
    </row>
    <row r="89" spans="1:50" ht="22.5" customHeight="1" x14ac:dyDescent="0.45">
      <c r="A89" s="866" t="s">
        <v>441</v>
      </c>
      <c r="B89" s="867"/>
      <c r="C89" s="867"/>
      <c r="D89" s="867"/>
      <c r="E89" s="867"/>
      <c r="F89" s="867"/>
      <c r="G89" s="32">
        <v>0.57999999999999996</v>
      </c>
      <c r="H89" s="32">
        <v>-0.34</v>
      </c>
      <c r="I89" s="32">
        <f>+Z102</f>
        <v>0.72428571428571442</v>
      </c>
      <c r="J89" s="32">
        <f>+AS102</f>
        <v>0.13918806959403485</v>
      </c>
    </row>
    <row r="90" spans="1:50" ht="23" x14ac:dyDescent="0.45">
      <c r="A90" s="866" t="s">
        <v>76</v>
      </c>
      <c r="B90" s="867"/>
      <c r="C90" s="867"/>
      <c r="D90" s="867"/>
      <c r="E90" s="867"/>
      <c r="F90" s="867"/>
      <c r="G90" s="32">
        <v>-0.01</v>
      </c>
      <c r="H90" s="32">
        <v>-0.01</v>
      </c>
      <c r="I90" s="32">
        <v>-0.01</v>
      </c>
      <c r="J90" s="32">
        <v>-0.01</v>
      </c>
    </row>
    <row r="91" spans="1:50" x14ac:dyDescent="0.25">
      <c r="A91" s="5"/>
    </row>
    <row r="92" spans="1:50" ht="19.5" customHeight="1" x14ac:dyDescent="0.25">
      <c r="A92" s="5"/>
      <c r="B92" s="28"/>
      <c r="C92" s="28"/>
      <c r="D92" s="28"/>
      <c r="G92" s="1165" t="s">
        <v>78</v>
      </c>
      <c r="H92" s="1165"/>
      <c r="I92" s="1165"/>
      <c r="J92" s="1165"/>
      <c r="K92" s="1165"/>
      <c r="L92" s="1165"/>
      <c r="M92" s="1165"/>
      <c r="N92" s="1165"/>
      <c r="O92" s="1165"/>
      <c r="P92" s="1165"/>
      <c r="Q92" s="1165"/>
      <c r="R92" s="1165"/>
      <c r="S92" s="1165"/>
      <c r="T92" s="1165"/>
      <c r="U92" s="1165"/>
      <c r="V92" s="1165"/>
      <c r="W92" s="1165"/>
      <c r="X92" s="1165"/>
      <c r="Y92" s="1165"/>
      <c r="Z92" s="1165"/>
      <c r="AA92" s="1165"/>
      <c r="AB92" s="1165"/>
      <c r="AC92" s="1165"/>
      <c r="AD92" s="1165"/>
      <c r="AE92" s="1165"/>
      <c r="AF92" s="1165"/>
      <c r="AG92" s="1165"/>
      <c r="AH92" s="1165"/>
      <c r="AI92" s="1165"/>
      <c r="AJ92" s="1165"/>
      <c r="AK92" s="1165"/>
      <c r="AL92" s="1165"/>
      <c r="AM92" s="1165"/>
      <c r="AN92" s="1165"/>
      <c r="AO92" s="1165"/>
      <c r="AP92" s="1165"/>
      <c r="AQ92" s="1165"/>
      <c r="AR92" s="1165"/>
      <c r="AS92" s="1165"/>
      <c r="AT92" s="1165"/>
      <c r="AU92" s="1165"/>
      <c r="AV92" s="1165"/>
      <c r="AW92" s="1165"/>
      <c r="AX92" s="1165"/>
    </row>
    <row r="93" spans="1:50" ht="17.5" x14ac:dyDescent="0.25">
      <c r="A93" s="5"/>
      <c r="G93" s="1222" t="s">
        <v>442</v>
      </c>
      <c r="H93" s="1222" t="s">
        <v>417</v>
      </c>
      <c r="I93" s="1222"/>
      <c r="J93" s="1222"/>
      <c r="K93" s="1222"/>
      <c r="L93" s="1222"/>
      <c r="M93" s="1222"/>
      <c r="N93" s="1222"/>
      <c r="O93" s="1222"/>
      <c r="P93" s="1222"/>
      <c r="Q93" s="1222"/>
      <c r="R93" s="1222"/>
      <c r="S93" s="1222"/>
      <c r="T93" s="1222"/>
      <c r="U93" s="1222"/>
      <c r="V93" s="1222"/>
      <c r="W93" s="1222"/>
      <c r="X93" s="1222"/>
      <c r="Y93" s="1222"/>
      <c r="Z93" s="1222"/>
      <c r="AA93" s="1222"/>
      <c r="AB93" s="1222"/>
      <c r="AC93" s="1222"/>
      <c r="AD93" s="1222"/>
      <c r="AE93" s="1222"/>
      <c r="AF93" s="1222"/>
      <c r="AG93" s="1222"/>
      <c r="AH93" s="1222"/>
      <c r="AI93" s="1222"/>
      <c r="AJ93" s="1222"/>
      <c r="AK93" s="1222"/>
      <c r="AL93" s="1222"/>
      <c r="AM93" s="1222"/>
      <c r="AN93" s="1222"/>
      <c r="AO93" s="1222"/>
      <c r="AP93" s="1222"/>
      <c r="AQ93" s="1222"/>
      <c r="AR93" s="1222"/>
      <c r="AS93" s="1222"/>
      <c r="AT93" s="1222"/>
      <c r="AU93" s="1222"/>
      <c r="AV93" s="1222"/>
      <c r="AW93" s="1222"/>
      <c r="AX93" s="1222"/>
    </row>
    <row r="94" spans="1:50" ht="19.5" customHeight="1" x14ac:dyDescent="0.3">
      <c r="B94" s="29"/>
      <c r="C94" s="30"/>
      <c r="D94" s="30"/>
      <c r="G94" s="1222"/>
      <c r="H94" s="1222">
        <v>2011</v>
      </c>
      <c r="I94" s="1222">
        <v>2012</v>
      </c>
      <c r="J94" s="1222">
        <v>2013</v>
      </c>
      <c r="K94" s="1222"/>
      <c r="L94" s="1222"/>
      <c r="M94" s="1222">
        <v>2014</v>
      </c>
      <c r="N94" s="1222"/>
      <c r="O94" s="1222"/>
      <c r="P94" s="1222"/>
      <c r="Q94" s="1222"/>
      <c r="R94" s="1222"/>
      <c r="S94" s="1222"/>
      <c r="T94" s="1222"/>
      <c r="U94" s="1222"/>
      <c r="V94" s="1222"/>
      <c r="W94" s="1222"/>
      <c r="X94" s="1222"/>
      <c r="Y94" s="1222"/>
      <c r="Z94" s="1222" t="s">
        <v>418</v>
      </c>
      <c r="AA94" s="1165" t="s">
        <v>79</v>
      </c>
      <c r="AB94" s="1165"/>
      <c r="AC94" s="1165"/>
      <c r="AD94" s="1165"/>
      <c r="AE94" s="1165"/>
      <c r="AF94" s="1222">
        <v>2015</v>
      </c>
      <c r="AG94" s="1222"/>
      <c r="AH94" s="1222"/>
      <c r="AI94" s="1222"/>
      <c r="AJ94" s="1222"/>
      <c r="AK94" s="1222"/>
      <c r="AL94" s="1222"/>
      <c r="AM94" s="1222"/>
      <c r="AN94" s="1222"/>
      <c r="AO94" s="1222"/>
      <c r="AP94" s="1222"/>
      <c r="AQ94" s="1222"/>
      <c r="AR94" s="1222"/>
      <c r="AS94" s="1222" t="s">
        <v>733</v>
      </c>
      <c r="AT94" s="1165" t="s">
        <v>79</v>
      </c>
      <c r="AU94" s="1165"/>
      <c r="AV94" s="1165"/>
      <c r="AW94" s="1165"/>
      <c r="AX94" s="1165"/>
    </row>
    <row r="95" spans="1:50" ht="19.5" customHeight="1" x14ac:dyDescent="0.3">
      <c r="B95" s="29"/>
      <c r="C95" s="30"/>
      <c r="D95" s="30"/>
      <c r="G95" s="1222"/>
      <c r="H95" s="1222"/>
      <c r="I95" s="1222"/>
      <c r="J95" s="1222" t="s">
        <v>419</v>
      </c>
      <c r="K95" s="1222" t="s">
        <v>420</v>
      </c>
      <c r="L95" s="1222" t="s">
        <v>185</v>
      </c>
      <c r="M95" s="1222" t="s">
        <v>86</v>
      </c>
      <c r="N95" s="1222"/>
      <c r="O95" s="1222"/>
      <c r="P95" s="1222"/>
      <c r="Q95" s="1222"/>
      <c r="R95" s="1222"/>
      <c r="S95" s="1222"/>
      <c r="T95" s="1222"/>
      <c r="U95" s="1222"/>
      <c r="V95" s="1222"/>
      <c r="W95" s="1222"/>
      <c r="X95" s="1222"/>
      <c r="Y95" s="1222"/>
      <c r="Z95" s="1222"/>
      <c r="AA95" s="1165"/>
      <c r="AB95" s="1165"/>
      <c r="AC95" s="1165"/>
      <c r="AD95" s="1165"/>
      <c r="AE95" s="1165"/>
      <c r="AF95" s="1222" t="s">
        <v>86</v>
      </c>
      <c r="AG95" s="1222"/>
      <c r="AH95" s="1222"/>
      <c r="AI95" s="1222"/>
      <c r="AJ95" s="1222"/>
      <c r="AK95" s="1222"/>
      <c r="AL95" s="1222"/>
      <c r="AM95" s="1222"/>
      <c r="AN95" s="1222"/>
      <c r="AO95" s="1222"/>
      <c r="AP95" s="1222"/>
      <c r="AQ95" s="1222"/>
      <c r="AR95" s="1222"/>
      <c r="AS95" s="1222"/>
      <c r="AT95" s="1165"/>
      <c r="AU95" s="1165"/>
      <c r="AV95" s="1165"/>
      <c r="AW95" s="1165"/>
      <c r="AX95" s="1165"/>
    </row>
    <row r="96" spans="1:50" ht="17.5" x14ac:dyDescent="0.3">
      <c r="B96" s="29"/>
      <c r="C96" s="30"/>
      <c r="D96" s="30"/>
      <c r="G96" s="1222"/>
      <c r="H96" s="1222"/>
      <c r="I96" s="1222"/>
      <c r="J96" s="1222"/>
      <c r="K96" s="1222"/>
      <c r="L96" s="1222"/>
      <c r="M96" s="214" t="s">
        <v>421</v>
      </c>
      <c r="N96" s="214" t="s">
        <v>422</v>
      </c>
      <c r="O96" s="214" t="s">
        <v>423</v>
      </c>
      <c r="P96" s="214" t="s">
        <v>424</v>
      </c>
      <c r="Q96" s="214" t="s">
        <v>425</v>
      </c>
      <c r="R96" s="214" t="s">
        <v>426</v>
      </c>
      <c r="S96" s="214" t="s">
        <v>427</v>
      </c>
      <c r="T96" s="214" t="s">
        <v>428</v>
      </c>
      <c r="U96" s="214" t="s">
        <v>429</v>
      </c>
      <c r="V96" s="214" t="s">
        <v>430</v>
      </c>
      <c r="W96" s="214" t="s">
        <v>431</v>
      </c>
      <c r="X96" s="214" t="s">
        <v>432</v>
      </c>
      <c r="Y96" s="214" t="s">
        <v>81</v>
      </c>
      <c r="Z96" s="1222"/>
      <c r="AA96" s="1165"/>
      <c r="AB96" s="1165"/>
      <c r="AC96" s="1165"/>
      <c r="AD96" s="1165"/>
      <c r="AE96" s="1165"/>
      <c r="AF96" s="214" t="s">
        <v>421</v>
      </c>
      <c r="AG96" s="214" t="s">
        <v>422</v>
      </c>
      <c r="AH96" s="214" t="s">
        <v>423</v>
      </c>
      <c r="AI96" s="214" t="s">
        <v>424</v>
      </c>
      <c r="AJ96" s="214" t="s">
        <v>425</v>
      </c>
      <c r="AK96" s="214" t="s">
        <v>426</v>
      </c>
      <c r="AL96" s="214" t="s">
        <v>427</v>
      </c>
      <c r="AM96" s="214" t="s">
        <v>428</v>
      </c>
      <c r="AN96" s="214" t="s">
        <v>429</v>
      </c>
      <c r="AO96" s="214" t="s">
        <v>430</v>
      </c>
      <c r="AP96" s="214" t="s">
        <v>431</v>
      </c>
      <c r="AQ96" s="214" t="s">
        <v>432</v>
      </c>
      <c r="AR96" s="214" t="s">
        <v>81</v>
      </c>
      <c r="AS96" s="1222"/>
      <c r="AT96" s="1165"/>
      <c r="AU96" s="1165"/>
      <c r="AV96" s="1165"/>
      <c r="AW96" s="1165"/>
      <c r="AX96" s="1165"/>
    </row>
    <row r="97" spans="1:50" ht="64.5" customHeight="1" x14ac:dyDescent="0.3">
      <c r="B97" s="29"/>
      <c r="C97" s="30"/>
      <c r="D97" s="30"/>
      <c r="G97" s="122" t="s">
        <v>443</v>
      </c>
      <c r="H97" s="123">
        <v>39.07</v>
      </c>
      <c r="I97" s="124">
        <v>63.97</v>
      </c>
      <c r="J97" s="124">
        <v>31</v>
      </c>
      <c r="K97" s="125">
        <f t="shared" ref="K97:K102" si="23">+J97/12</f>
        <v>2.5833333333333335</v>
      </c>
      <c r="L97" s="126">
        <f t="shared" ref="L97:L102" si="24">+J97*0.01</f>
        <v>0.31</v>
      </c>
      <c r="M97" s="75">
        <v>2</v>
      </c>
      <c r="N97" s="75">
        <v>1.9</v>
      </c>
      <c r="O97" s="75">
        <v>5</v>
      </c>
      <c r="P97" s="75">
        <v>1.9</v>
      </c>
      <c r="Q97" s="75">
        <v>5</v>
      </c>
      <c r="R97" s="75">
        <v>5</v>
      </c>
      <c r="S97" s="75">
        <v>5</v>
      </c>
      <c r="T97" s="75">
        <v>7</v>
      </c>
      <c r="U97" s="75">
        <v>7</v>
      </c>
      <c r="V97" s="75">
        <v>6</v>
      </c>
      <c r="W97" s="75">
        <v>6</v>
      </c>
      <c r="X97" s="75">
        <v>6</v>
      </c>
      <c r="Y97" s="77">
        <f>SUM(M97:X97)</f>
        <v>57.8</v>
      </c>
      <c r="Z97" s="127">
        <f t="shared" ref="Z97:Z102" si="25">+(Y97/J97)-1</f>
        <v>0.86451612903225805</v>
      </c>
      <c r="AA97" s="996" t="s">
        <v>772</v>
      </c>
      <c r="AB97" s="996"/>
      <c r="AC97" s="996"/>
      <c r="AD97" s="996"/>
      <c r="AE97" s="996"/>
      <c r="AF97" s="75"/>
      <c r="AG97" s="75"/>
      <c r="AH97" s="75">
        <v>18</v>
      </c>
      <c r="AI97" s="75">
        <v>20</v>
      </c>
      <c r="AJ97" s="75">
        <v>22</v>
      </c>
      <c r="AK97" s="75">
        <v>25</v>
      </c>
      <c r="AL97" s="75">
        <v>19</v>
      </c>
      <c r="AM97" s="75">
        <v>6</v>
      </c>
      <c r="AN97" s="75">
        <v>16</v>
      </c>
      <c r="AO97" s="75"/>
      <c r="AP97" s="75"/>
      <c r="AQ97" s="75"/>
      <c r="AR97" s="77">
        <f>SUM(AF97:AQ97)</f>
        <v>126</v>
      </c>
      <c r="AS97" s="127">
        <f t="shared" ref="AS97:AS102" si="26">+(AR97/Y97)-1</f>
        <v>1.179930795847751</v>
      </c>
      <c r="AT97" s="1213" t="s">
        <v>773</v>
      </c>
      <c r="AU97" s="1214"/>
      <c r="AV97" s="1214"/>
      <c r="AW97" s="1214"/>
      <c r="AX97" s="1215"/>
    </row>
    <row r="98" spans="1:50" ht="60" customHeight="1" x14ac:dyDescent="0.25">
      <c r="G98" s="122" t="s">
        <v>444</v>
      </c>
      <c r="H98" s="123">
        <v>13.02</v>
      </c>
      <c r="I98" s="124">
        <v>44.04</v>
      </c>
      <c r="J98" s="124">
        <v>8</v>
      </c>
      <c r="K98" s="125">
        <f t="shared" si="23"/>
        <v>0.66666666666666663</v>
      </c>
      <c r="L98" s="126">
        <f t="shared" si="24"/>
        <v>0.08</v>
      </c>
      <c r="M98" s="75"/>
      <c r="N98" s="75"/>
      <c r="O98" s="75"/>
      <c r="P98" s="75"/>
      <c r="Q98" s="75"/>
      <c r="R98" s="75"/>
      <c r="S98" s="75">
        <v>0</v>
      </c>
      <c r="T98" s="75">
        <v>0</v>
      </c>
      <c r="U98" s="75">
        <v>0</v>
      </c>
      <c r="V98" s="75">
        <v>0</v>
      </c>
      <c r="W98" s="75">
        <v>0</v>
      </c>
      <c r="X98" s="75">
        <v>0</v>
      </c>
      <c r="Y98" s="77">
        <f>SUM(M98:X98)</f>
        <v>0</v>
      </c>
      <c r="Z98" s="127">
        <f t="shared" si="25"/>
        <v>-1</v>
      </c>
      <c r="AA98" s="996"/>
      <c r="AB98" s="996"/>
      <c r="AC98" s="996"/>
      <c r="AD98" s="996"/>
      <c r="AE98" s="996"/>
      <c r="AF98" s="75">
        <v>0</v>
      </c>
      <c r="AG98" s="75">
        <v>0</v>
      </c>
      <c r="AH98" s="75">
        <v>0</v>
      </c>
      <c r="AI98" s="75">
        <v>0</v>
      </c>
      <c r="AJ98" s="75">
        <v>0</v>
      </c>
      <c r="AK98" s="75">
        <v>0</v>
      </c>
      <c r="AL98" s="75">
        <v>0</v>
      </c>
      <c r="AM98" s="75">
        <v>0</v>
      </c>
      <c r="AN98" s="75">
        <v>0</v>
      </c>
      <c r="AO98" s="75"/>
      <c r="AP98" s="75"/>
      <c r="AQ98" s="75"/>
      <c r="AR98" s="77">
        <f>SUM(AF98:AQ98)</f>
        <v>0</v>
      </c>
      <c r="AS98" s="127" t="e">
        <f t="shared" si="26"/>
        <v>#DIV/0!</v>
      </c>
      <c r="AT98" s="1216"/>
      <c r="AU98" s="1217"/>
      <c r="AV98" s="1217"/>
      <c r="AW98" s="1217"/>
      <c r="AX98" s="1218"/>
    </row>
    <row r="99" spans="1:50" ht="69" customHeight="1" x14ac:dyDescent="0.25">
      <c r="G99" s="122" t="s">
        <v>445</v>
      </c>
      <c r="H99" s="123">
        <v>158.72999999999999</v>
      </c>
      <c r="I99" s="124">
        <v>146.58000000000001</v>
      </c>
      <c r="J99" s="124">
        <v>52</v>
      </c>
      <c r="K99" s="125">
        <f t="shared" si="23"/>
        <v>4.333333333333333</v>
      </c>
      <c r="L99" s="126">
        <f t="shared" si="24"/>
        <v>0.52</v>
      </c>
      <c r="M99" s="75">
        <v>14</v>
      </c>
      <c r="N99" s="75">
        <v>15</v>
      </c>
      <c r="O99" s="75">
        <v>17</v>
      </c>
      <c r="P99" s="75">
        <v>15</v>
      </c>
      <c r="Q99" s="75">
        <v>13</v>
      </c>
      <c r="R99" s="75">
        <v>12</v>
      </c>
      <c r="S99" s="75">
        <v>18</v>
      </c>
      <c r="T99" s="75">
        <v>23</v>
      </c>
      <c r="U99" s="75">
        <v>22</v>
      </c>
      <c r="V99" s="75">
        <v>17</v>
      </c>
      <c r="W99" s="75">
        <v>23</v>
      </c>
      <c r="X99" s="75">
        <v>41</v>
      </c>
      <c r="Y99" s="77">
        <f>SUM(M99:X99)</f>
        <v>230</v>
      </c>
      <c r="Z99" s="127">
        <f t="shared" si="25"/>
        <v>3.4230769230769234</v>
      </c>
      <c r="AA99" s="996"/>
      <c r="AB99" s="996"/>
      <c r="AC99" s="996"/>
      <c r="AD99" s="996"/>
      <c r="AE99" s="996"/>
      <c r="AF99" s="75">
        <v>22</v>
      </c>
      <c r="AG99" s="75">
        <v>24</v>
      </c>
      <c r="AH99" s="75">
        <v>24</v>
      </c>
      <c r="AI99" s="75">
        <v>37</v>
      </c>
      <c r="AJ99" s="75">
        <v>24</v>
      </c>
      <c r="AK99" s="75">
        <v>28</v>
      </c>
      <c r="AL99" s="75">
        <v>33</v>
      </c>
      <c r="AM99" s="75">
        <v>40</v>
      </c>
      <c r="AN99" s="75">
        <v>40</v>
      </c>
      <c r="AO99" s="75"/>
      <c r="AP99" s="75"/>
      <c r="AQ99" s="75"/>
      <c r="AR99" s="77">
        <f>SUM(AF99:AQ99)</f>
        <v>272</v>
      </c>
      <c r="AS99" s="127">
        <f t="shared" si="26"/>
        <v>0.18260869565217397</v>
      </c>
      <c r="AT99" s="1216"/>
      <c r="AU99" s="1217"/>
      <c r="AV99" s="1217"/>
      <c r="AW99" s="1217"/>
      <c r="AX99" s="1218"/>
    </row>
    <row r="100" spans="1:50" ht="51.75" customHeight="1" x14ac:dyDescent="0.25">
      <c r="G100" s="122" t="s">
        <v>446</v>
      </c>
      <c r="H100" s="123"/>
      <c r="I100" s="124">
        <v>70.67</v>
      </c>
      <c r="J100" s="124">
        <v>26</v>
      </c>
      <c r="K100" s="125">
        <f t="shared" si="23"/>
        <v>2.1666666666666665</v>
      </c>
      <c r="L100" s="126">
        <f t="shared" si="24"/>
        <v>0.26</v>
      </c>
      <c r="M100" s="75">
        <v>11</v>
      </c>
      <c r="N100" s="75">
        <v>9</v>
      </c>
      <c r="O100" s="75">
        <v>8</v>
      </c>
      <c r="P100" s="75">
        <v>8</v>
      </c>
      <c r="Q100" s="75">
        <v>6</v>
      </c>
      <c r="R100" s="75">
        <v>7</v>
      </c>
      <c r="S100" s="75">
        <v>8</v>
      </c>
      <c r="T100" s="75">
        <v>8</v>
      </c>
      <c r="U100" s="75">
        <v>6</v>
      </c>
      <c r="V100" s="75">
        <v>8</v>
      </c>
      <c r="W100" s="75">
        <v>7</v>
      </c>
      <c r="X100" s="75">
        <v>11</v>
      </c>
      <c r="Y100" s="77">
        <f>SUM(M100:X100)</f>
        <v>97</v>
      </c>
      <c r="Z100" s="127">
        <f t="shared" si="25"/>
        <v>2.7307692307692308</v>
      </c>
      <c r="AA100" s="996"/>
      <c r="AB100" s="996"/>
      <c r="AC100" s="996"/>
      <c r="AD100" s="996"/>
      <c r="AE100" s="996"/>
      <c r="AF100" s="75">
        <v>16</v>
      </c>
      <c r="AG100" s="75">
        <v>19</v>
      </c>
      <c r="AH100" s="75">
        <v>32</v>
      </c>
      <c r="AI100" s="75">
        <v>20</v>
      </c>
      <c r="AJ100" s="75">
        <v>0</v>
      </c>
      <c r="AK100" s="75">
        <v>0</v>
      </c>
      <c r="AL100" s="75">
        <v>0</v>
      </c>
      <c r="AM100" s="75">
        <v>0</v>
      </c>
      <c r="AN100" s="75">
        <v>0</v>
      </c>
      <c r="AO100" s="75"/>
      <c r="AP100" s="75"/>
      <c r="AQ100" s="75"/>
      <c r="AR100" s="77">
        <f>SUM(AF100:AQ100)</f>
        <v>87</v>
      </c>
      <c r="AS100" s="127">
        <f t="shared" si="26"/>
        <v>-0.10309278350515461</v>
      </c>
      <c r="AT100" s="1216"/>
      <c r="AU100" s="1217"/>
      <c r="AV100" s="1217"/>
      <c r="AW100" s="1217"/>
      <c r="AX100" s="1218"/>
    </row>
    <row r="101" spans="1:50" ht="51.75" customHeight="1" x14ac:dyDescent="0.25">
      <c r="G101" s="122" t="s">
        <v>447</v>
      </c>
      <c r="H101" s="123">
        <v>58.96</v>
      </c>
      <c r="I101" s="124">
        <v>101.26</v>
      </c>
      <c r="J101" s="124">
        <v>163</v>
      </c>
      <c r="K101" s="125">
        <f t="shared" si="23"/>
        <v>13.583333333333334</v>
      </c>
      <c r="L101" s="126">
        <f t="shared" si="24"/>
        <v>1.6300000000000001</v>
      </c>
      <c r="M101" s="75">
        <v>4</v>
      </c>
      <c r="N101" s="75">
        <v>5</v>
      </c>
      <c r="O101" s="75">
        <v>8</v>
      </c>
      <c r="P101" s="75">
        <v>7</v>
      </c>
      <c r="Q101" s="75">
        <v>6</v>
      </c>
      <c r="R101" s="75">
        <v>28</v>
      </c>
      <c r="S101" s="75">
        <v>7</v>
      </c>
      <c r="T101" s="75">
        <v>6</v>
      </c>
      <c r="U101" s="75">
        <v>6</v>
      </c>
      <c r="V101" s="75">
        <v>6</v>
      </c>
      <c r="W101" s="75">
        <v>8</v>
      </c>
      <c r="X101" s="75">
        <v>7</v>
      </c>
      <c r="Y101" s="77">
        <f>SUM(M101:X101)</f>
        <v>98</v>
      </c>
      <c r="Z101" s="127">
        <f t="shared" si="25"/>
        <v>-0.39877300613496935</v>
      </c>
      <c r="AA101" s="996"/>
      <c r="AB101" s="996"/>
      <c r="AC101" s="996"/>
      <c r="AD101" s="996"/>
      <c r="AE101" s="996"/>
      <c r="AF101" s="75">
        <v>5</v>
      </c>
      <c r="AG101" s="75">
        <v>6</v>
      </c>
      <c r="AH101" s="75">
        <v>20</v>
      </c>
      <c r="AI101" s="75">
        <v>7</v>
      </c>
      <c r="AJ101" s="75">
        <v>6</v>
      </c>
      <c r="AK101" s="75">
        <v>6</v>
      </c>
      <c r="AL101" s="75">
        <v>8</v>
      </c>
      <c r="AM101" s="75">
        <v>7</v>
      </c>
      <c r="AN101" s="253"/>
      <c r="AO101" s="75"/>
      <c r="AP101" s="75"/>
      <c r="AQ101" s="75"/>
      <c r="AR101" s="77">
        <f>SUM(AF101:AQ101)</f>
        <v>65</v>
      </c>
      <c r="AS101" s="127">
        <f t="shared" si="26"/>
        <v>-0.33673469387755106</v>
      </c>
      <c r="AT101" s="1216"/>
      <c r="AU101" s="1217"/>
      <c r="AV101" s="1217"/>
      <c r="AW101" s="1217"/>
      <c r="AX101" s="1218"/>
    </row>
    <row r="102" spans="1:50" ht="51.75" customHeight="1" x14ac:dyDescent="0.25">
      <c r="G102" s="128" t="s">
        <v>81</v>
      </c>
      <c r="H102" s="77">
        <f>SUM(H97:H101)</f>
        <v>269.77999999999997</v>
      </c>
      <c r="I102" s="77">
        <f>SUM(I97:I101)</f>
        <v>426.52</v>
      </c>
      <c r="J102" s="77">
        <f>SUM(J97:J101)</f>
        <v>280</v>
      </c>
      <c r="K102" s="125">
        <f t="shared" si="23"/>
        <v>23.333333333333332</v>
      </c>
      <c r="L102" s="126">
        <f t="shared" si="24"/>
        <v>2.8000000000000003</v>
      </c>
      <c r="M102" s="77">
        <f t="shared" ref="M102:Y102" si="27">SUM(M97:M101)</f>
        <v>31</v>
      </c>
      <c r="N102" s="77">
        <f t="shared" si="27"/>
        <v>30.9</v>
      </c>
      <c r="O102" s="77">
        <f t="shared" si="27"/>
        <v>38</v>
      </c>
      <c r="P102" s="77">
        <f t="shared" si="27"/>
        <v>31.9</v>
      </c>
      <c r="Q102" s="77">
        <f t="shared" si="27"/>
        <v>30</v>
      </c>
      <c r="R102" s="77">
        <f t="shared" si="27"/>
        <v>52</v>
      </c>
      <c r="S102" s="77">
        <f t="shared" si="27"/>
        <v>38</v>
      </c>
      <c r="T102" s="77">
        <f t="shared" si="27"/>
        <v>44</v>
      </c>
      <c r="U102" s="77">
        <f t="shared" si="27"/>
        <v>41</v>
      </c>
      <c r="V102" s="77">
        <f t="shared" si="27"/>
        <v>37</v>
      </c>
      <c r="W102" s="77">
        <f t="shared" si="27"/>
        <v>44</v>
      </c>
      <c r="X102" s="77">
        <f t="shared" si="27"/>
        <v>65</v>
      </c>
      <c r="Y102" s="77">
        <f t="shared" si="27"/>
        <v>482.8</v>
      </c>
      <c r="Z102" s="127">
        <f t="shared" si="25"/>
        <v>0.72428571428571442</v>
      </c>
      <c r="AA102" s="996"/>
      <c r="AB102" s="996"/>
      <c r="AC102" s="996"/>
      <c r="AD102" s="996"/>
      <c r="AE102" s="996"/>
      <c r="AF102" s="77">
        <f t="shared" ref="AF102:AQ102" si="28">SUM(AF97:AF101)</f>
        <v>43</v>
      </c>
      <c r="AG102" s="77">
        <f t="shared" si="28"/>
        <v>49</v>
      </c>
      <c r="AH102" s="77">
        <f t="shared" si="28"/>
        <v>94</v>
      </c>
      <c r="AI102" s="77">
        <f t="shared" si="28"/>
        <v>84</v>
      </c>
      <c r="AJ102" s="77">
        <f t="shared" si="28"/>
        <v>52</v>
      </c>
      <c r="AK102" s="77">
        <f t="shared" si="28"/>
        <v>59</v>
      </c>
      <c r="AL102" s="77">
        <f t="shared" si="28"/>
        <v>60</v>
      </c>
      <c r="AM102" s="77">
        <f t="shared" si="28"/>
        <v>53</v>
      </c>
      <c r="AN102" s="77">
        <f t="shared" si="28"/>
        <v>56</v>
      </c>
      <c r="AO102" s="77">
        <f t="shared" si="28"/>
        <v>0</v>
      </c>
      <c r="AP102" s="77">
        <f t="shared" si="28"/>
        <v>0</v>
      </c>
      <c r="AQ102" s="77">
        <f t="shared" si="28"/>
        <v>0</v>
      </c>
      <c r="AR102" s="77">
        <f>SUM(AR97:AR101)</f>
        <v>550</v>
      </c>
      <c r="AS102" s="127">
        <f t="shared" si="26"/>
        <v>0.13918806959403485</v>
      </c>
      <c r="AT102" s="1219"/>
      <c r="AU102" s="1220"/>
      <c r="AV102" s="1220"/>
      <c r="AW102" s="1220"/>
      <c r="AX102" s="1221"/>
    </row>
    <row r="103" spans="1:50" ht="51.75" customHeight="1" x14ac:dyDescent="0.25"/>
    <row r="106" spans="1:50" ht="43.5" customHeight="1" x14ac:dyDescent="0.25">
      <c r="A106" s="1154" t="str">
        <f>+D18</f>
        <v>PORCENTAJE (%)  DE DISMINUCIÓN DE CONSUMO DE ENERGÍA.</v>
      </c>
      <c r="B106" s="1155"/>
      <c r="C106" s="1155"/>
      <c r="D106" s="1155"/>
      <c r="E106" s="1155"/>
      <c r="F106" s="1155"/>
      <c r="G106" s="1155"/>
      <c r="H106" s="1155"/>
      <c r="I106" s="1155"/>
      <c r="J106" s="1155"/>
      <c r="K106" s="1155"/>
      <c r="L106" s="1155"/>
      <c r="M106" s="1155"/>
      <c r="N106" s="1155"/>
      <c r="O106" s="1155"/>
      <c r="P106" s="1155"/>
      <c r="Q106" s="1155"/>
      <c r="R106" s="1155"/>
      <c r="S106" s="1155"/>
      <c r="T106" s="1155"/>
      <c r="U106" s="1155"/>
      <c r="V106" s="1155"/>
      <c r="W106" s="1155"/>
      <c r="X106" s="1155"/>
      <c r="Y106" s="1155"/>
      <c r="Z106" s="1155"/>
      <c r="AA106" s="1155"/>
      <c r="AB106" s="1155"/>
      <c r="AC106" s="1155"/>
      <c r="AD106" s="1155"/>
    </row>
    <row r="107" spans="1:50" x14ac:dyDescent="0.25">
      <c r="A107" s="5"/>
    </row>
    <row r="108" spans="1:50" ht="23" x14ac:dyDescent="0.45">
      <c r="A108" s="26"/>
      <c r="G108" s="31">
        <v>2012</v>
      </c>
      <c r="H108" s="31">
        <v>2013</v>
      </c>
      <c r="I108" s="31">
        <v>2014</v>
      </c>
      <c r="J108" s="31">
        <v>2014</v>
      </c>
      <c r="K108" s="31">
        <v>2015</v>
      </c>
    </row>
    <row r="109" spans="1:50" ht="22.5" customHeight="1" x14ac:dyDescent="0.45">
      <c r="A109" s="866" t="s">
        <v>448</v>
      </c>
      <c r="B109" s="867"/>
      <c r="C109" s="867"/>
      <c r="D109" s="867"/>
      <c r="E109" s="867"/>
      <c r="F109" s="867"/>
      <c r="G109" s="32">
        <v>0.15</v>
      </c>
      <c r="H109" s="32">
        <v>-0.37</v>
      </c>
      <c r="I109" s="32">
        <v>-0.02</v>
      </c>
      <c r="J109" s="32">
        <f>+Z119</f>
        <v>0.29385849768647665</v>
      </c>
      <c r="K109" s="32">
        <f>+AS119</f>
        <v>-0.32260273538307416</v>
      </c>
    </row>
    <row r="110" spans="1:50" ht="23" x14ac:dyDescent="0.45">
      <c r="A110" s="866" t="s">
        <v>76</v>
      </c>
      <c r="B110" s="867"/>
      <c r="C110" s="867"/>
      <c r="D110" s="867"/>
      <c r="E110" s="867"/>
      <c r="F110" s="867"/>
      <c r="G110" s="32">
        <v>-0.01</v>
      </c>
      <c r="H110" s="32">
        <v>-0.01</v>
      </c>
      <c r="I110" s="32">
        <v>-0.01</v>
      </c>
      <c r="J110" s="32">
        <v>-0.01</v>
      </c>
      <c r="K110" s="32">
        <v>-0.01</v>
      </c>
    </row>
    <row r="111" spans="1:50" x14ac:dyDescent="0.25">
      <c r="A111" s="5"/>
    </row>
    <row r="112" spans="1:50" ht="36.75" customHeight="1" x14ac:dyDescent="0.25">
      <c r="A112" s="5"/>
      <c r="B112" s="28"/>
      <c r="C112" s="28"/>
      <c r="D112" s="28"/>
      <c r="G112" s="1145" t="s">
        <v>78</v>
      </c>
      <c r="H112" s="1145"/>
      <c r="I112" s="1145"/>
      <c r="J112" s="1145"/>
      <c r="K112" s="1145"/>
      <c r="L112" s="1145"/>
      <c r="M112" s="1145"/>
      <c r="N112" s="1145"/>
      <c r="O112" s="1145"/>
      <c r="P112" s="1145"/>
      <c r="Q112" s="1145"/>
      <c r="R112" s="1145"/>
      <c r="S112" s="1145"/>
      <c r="T112" s="1145"/>
      <c r="U112" s="1145"/>
      <c r="V112" s="1145"/>
      <c r="W112" s="1145"/>
      <c r="X112" s="1145"/>
      <c r="Y112" s="1145"/>
      <c r="Z112" s="1145"/>
      <c r="AA112" s="1145"/>
      <c r="AB112" s="1145"/>
      <c r="AC112" s="1145"/>
      <c r="AD112" s="1145"/>
      <c r="AE112" s="1145"/>
      <c r="AF112" s="1145"/>
      <c r="AG112" s="1145"/>
      <c r="AH112" s="1145"/>
      <c r="AI112" s="1145"/>
      <c r="AJ112" s="1145"/>
      <c r="AK112" s="1145"/>
      <c r="AL112" s="1145"/>
      <c r="AM112" s="1145"/>
      <c r="AN112" s="1145"/>
      <c r="AO112" s="1145"/>
      <c r="AP112" s="1145"/>
      <c r="AQ112" s="1145"/>
      <c r="AR112" s="1145"/>
      <c r="AS112" s="1145"/>
      <c r="AT112" s="1145"/>
      <c r="AU112" s="1145"/>
      <c r="AV112" s="1145"/>
      <c r="AW112" s="1145"/>
      <c r="AX112" s="1145"/>
    </row>
    <row r="113" spans="1:50" ht="36.75" customHeight="1" x14ac:dyDescent="0.25">
      <c r="A113" s="5"/>
      <c r="G113" s="1222" t="s">
        <v>442</v>
      </c>
      <c r="H113" s="1256" t="s">
        <v>417</v>
      </c>
      <c r="I113" s="1256"/>
      <c r="J113" s="1256"/>
      <c r="K113" s="1256"/>
      <c r="L113" s="1256"/>
      <c r="M113" s="1256"/>
      <c r="N113" s="1256"/>
      <c r="O113" s="1256"/>
      <c r="P113" s="1256"/>
      <c r="Q113" s="1256"/>
      <c r="R113" s="1256"/>
      <c r="S113" s="1256"/>
      <c r="T113" s="1256"/>
      <c r="U113" s="1256"/>
      <c r="V113" s="1256"/>
      <c r="W113" s="1256"/>
      <c r="X113" s="1256"/>
      <c r="Y113" s="1256"/>
      <c r="Z113" s="1256"/>
      <c r="AA113" s="1256"/>
      <c r="AB113" s="1256"/>
      <c r="AC113" s="1256"/>
      <c r="AD113" s="1256"/>
      <c r="AE113" s="1256"/>
      <c r="AF113" s="1256"/>
      <c r="AG113" s="1256"/>
      <c r="AH113" s="1256"/>
      <c r="AI113" s="1256"/>
      <c r="AJ113" s="1256"/>
      <c r="AK113" s="1256"/>
      <c r="AL113" s="1256"/>
      <c r="AM113" s="1256"/>
      <c r="AN113" s="1256"/>
      <c r="AO113" s="1256"/>
      <c r="AP113" s="1256"/>
      <c r="AQ113" s="1256"/>
      <c r="AR113" s="1256"/>
      <c r="AS113" s="1256"/>
      <c r="AT113" s="1256"/>
      <c r="AU113" s="1256"/>
      <c r="AV113" s="1256"/>
      <c r="AW113" s="1256"/>
      <c r="AX113" s="1256"/>
    </row>
    <row r="114" spans="1:50" ht="36.75" customHeight="1" x14ac:dyDescent="0.3">
      <c r="B114" s="29"/>
      <c r="C114" s="30"/>
      <c r="D114" s="30"/>
      <c r="G114" s="1222"/>
      <c r="H114" s="1222">
        <v>2011</v>
      </c>
      <c r="I114" s="1222">
        <v>2012</v>
      </c>
      <c r="J114" s="1222">
        <v>2013</v>
      </c>
      <c r="K114" s="1222"/>
      <c r="L114" s="1222"/>
      <c r="M114" s="1222">
        <v>2014</v>
      </c>
      <c r="N114" s="1222"/>
      <c r="O114" s="1222"/>
      <c r="P114" s="1222"/>
      <c r="Q114" s="1222"/>
      <c r="R114" s="1222"/>
      <c r="S114" s="1222"/>
      <c r="T114" s="1222"/>
      <c r="U114" s="1222"/>
      <c r="V114" s="1222"/>
      <c r="W114" s="1222"/>
      <c r="X114" s="1222"/>
      <c r="Y114" s="1222"/>
      <c r="Z114" s="1254" t="s">
        <v>418</v>
      </c>
      <c r="AA114" s="1145" t="s">
        <v>79</v>
      </c>
      <c r="AB114" s="1145"/>
      <c r="AC114" s="1145"/>
      <c r="AD114" s="1145"/>
      <c r="AE114" s="1145"/>
      <c r="AF114" s="1222">
        <v>2015</v>
      </c>
      <c r="AG114" s="1222"/>
      <c r="AH114" s="1222"/>
      <c r="AI114" s="1222"/>
      <c r="AJ114" s="1222"/>
      <c r="AK114" s="1222"/>
      <c r="AL114" s="1222"/>
      <c r="AM114" s="1222"/>
      <c r="AN114" s="1222"/>
      <c r="AO114" s="1222"/>
      <c r="AP114" s="1222"/>
      <c r="AQ114" s="1222"/>
      <c r="AR114" s="1222"/>
      <c r="AS114" s="1254" t="s">
        <v>733</v>
      </c>
      <c r="AT114" s="1145" t="s">
        <v>79</v>
      </c>
      <c r="AU114" s="1145"/>
      <c r="AV114" s="1145"/>
      <c r="AW114" s="1145"/>
      <c r="AX114" s="1145"/>
    </row>
    <row r="115" spans="1:50" ht="36.75" customHeight="1" x14ac:dyDescent="0.3">
      <c r="B115" s="29"/>
      <c r="C115" s="30"/>
      <c r="D115" s="30"/>
      <c r="G115" s="1222"/>
      <c r="H115" s="1222"/>
      <c r="I115" s="1222"/>
      <c r="J115" s="1222" t="s">
        <v>419</v>
      </c>
      <c r="K115" s="1222" t="s">
        <v>420</v>
      </c>
      <c r="L115" s="1222" t="s">
        <v>185</v>
      </c>
      <c r="M115" s="1222" t="s">
        <v>86</v>
      </c>
      <c r="N115" s="1222"/>
      <c r="O115" s="1222"/>
      <c r="P115" s="1222"/>
      <c r="Q115" s="1222"/>
      <c r="R115" s="1222"/>
      <c r="S115" s="1222"/>
      <c r="T115" s="1222"/>
      <c r="U115" s="1222"/>
      <c r="V115" s="1222"/>
      <c r="W115" s="1222"/>
      <c r="X115" s="1222"/>
      <c r="Y115" s="1222"/>
      <c r="Z115" s="1255"/>
      <c r="AA115" s="1253"/>
      <c r="AB115" s="1253"/>
      <c r="AC115" s="1253"/>
      <c r="AD115" s="1253"/>
      <c r="AE115" s="1253"/>
      <c r="AF115" s="1222" t="s">
        <v>86</v>
      </c>
      <c r="AG115" s="1222"/>
      <c r="AH115" s="1222"/>
      <c r="AI115" s="1222"/>
      <c r="AJ115" s="1222"/>
      <c r="AK115" s="1222"/>
      <c r="AL115" s="1222"/>
      <c r="AM115" s="1222"/>
      <c r="AN115" s="1222"/>
      <c r="AO115" s="1222"/>
      <c r="AP115" s="1222"/>
      <c r="AQ115" s="1222"/>
      <c r="AR115" s="1222"/>
      <c r="AS115" s="1255"/>
      <c r="AT115" s="1253"/>
      <c r="AU115" s="1253"/>
      <c r="AV115" s="1253"/>
      <c r="AW115" s="1253"/>
      <c r="AX115" s="1253"/>
    </row>
    <row r="116" spans="1:50" ht="36.75" customHeight="1" x14ac:dyDescent="0.3">
      <c r="B116" s="29"/>
      <c r="C116" s="30"/>
      <c r="D116" s="30"/>
      <c r="G116" s="1222"/>
      <c r="H116" s="1222"/>
      <c r="I116" s="1222"/>
      <c r="J116" s="1222"/>
      <c r="K116" s="1222"/>
      <c r="L116" s="1222"/>
      <c r="M116" s="214" t="s">
        <v>421</v>
      </c>
      <c r="N116" s="214" t="s">
        <v>422</v>
      </c>
      <c r="O116" s="214" t="s">
        <v>423</v>
      </c>
      <c r="P116" s="214" t="s">
        <v>424</v>
      </c>
      <c r="Q116" s="214" t="s">
        <v>425</v>
      </c>
      <c r="R116" s="214" t="s">
        <v>426</v>
      </c>
      <c r="S116" s="214" t="s">
        <v>427</v>
      </c>
      <c r="T116" s="214" t="s">
        <v>428</v>
      </c>
      <c r="U116" s="214" t="s">
        <v>429</v>
      </c>
      <c r="V116" s="214" t="s">
        <v>430</v>
      </c>
      <c r="W116" s="214" t="s">
        <v>431</v>
      </c>
      <c r="X116" s="214" t="s">
        <v>432</v>
      </c>
      <c r="Y116" s="214" t="s">
        <v>81</v>
      </c>
      <c r="Z116" s="1256"/>
      <c r="AA116" s="1146"/>
      <c r="AB116" s="1146"/>
      <c r="AC116" s="1146"/>
      <c r="AD116" s="1146"/>
      <c r="AE116" s="1146"/>
      <c r="AF116" s="214" t="s">
        <v>421</v>
      </c>
      <c r="AG116" s="214" t="s">
        <v>422</v>
      </c>
      <c r="AH116" s="214" t="s">
        <v>423</v>
      </c>
      <c r="AI116" s="214" t="s">
        <v>424</v>
      </c>
      <c r="AJ116" s="214" t="s">
        <v>425</v>
      </c>
      <c r="AK116" s="214" t="s">
        <v>426</v>
      </c>
      <c r="AL116" s="214" t="s">
        <v>427</v>
      </c>
      <c r="AM116" s="214" t="s">
        <v>428</v>
      </c>
      <c r="AN116" s="214" t="s">
        <v>429</v>
      </c>
      <c r="AO116" s="214" t="s">
        <v>430</v>
      </c>
      <c r="AP116" s="214" t="s">
        <v>431</v>
      </c>
      <c r="AQ116" s="214" t="s">
        <v>432</v>
      </c>
      <c r="AR116" s="214" t="s">
        <v>81</v>
      </c>
      <c r="AS116" s="1256"/>
      <c r="AT116" s="1146"/>
      <c r="AU116" s="1146"/>
      <c r="AV116" s="1146"/>
      <c r="AW116" s="1146"/>
      <c r="AX116" s="1146"/>
    </row>
    <row r="117" spans="1:50" ht="51.75" customHeight="1" x14ac:dyDescent="0.3">
      <c r="B117" s="29"/>
      <c r="C117" s="30"/>
      <c r="D117" s="30"/>
      <c r="G117" s="129" t="s">
        <v>449</v>
      </c>
      <c r="H117" s="130">
        <v>162694</v>
      </c>
      <c r="I117" s="130">
        <v>186314</v>
      </c>
      <c r="J117" s="130">
        <v>112754</v>
      </c>
      <c r="K117" s="131">
        <f>+J117/12</f>
        <v>9396.1666666666661</v>
      </c>
      <c r="L117" s="117">
        <f>+J117*0.01</f>
        <v>1127.54</v>
      </c>
      <c r="M117" s="195">
        <v>13200</v>
      </c>
      <c r="N117" s="195">
        <v>11200</v>
      </c>
      <c r="O117" s="195">
        <v>15040</v>
      </c>
      <c r="P117" s="195">
        <v>12080</v>
      </c>
      <c r="Q117" s="195">
        <v>12400</v>
      </c>
      <c r="R117" s="195">
        <v>12640</v>
      </c>
      <c r="S117" s="195">
        <v>12880</v>
      </c>
      <c r="T117" s="195">
        <v>12720</v>
      </c>
      <c r="U117" s="195">
        <v>12720</v>
      </c>
      <c r="V117" s="195">
        <v>12480</v>
      </c>
      <c r="W117" s="195">
        <v>11200</v>
      </c>
      <c r="X117" s="195">
        <v>12160</v>
      </c>
      <c r="Y117" s="130">
        <f>SUM(M117:X117)</f>
        <v>150720</v>
      </c>
      <c r="Z117" s="118">
        <f>+(Y117/J117)-1</f>
        <v>0.33671532717242858</v>
      </c>
      <c r="AA117" s="996" t="s">
        <v>774</v>
      </c>
      <c r="AB117" s="996"/>
      <c r="AC117" s="996"/>
      <c r="AD117" s="996"/>
      <c r="AE117" s="996"/>
      <c r="AF117" s="195">
        <v>10320</v>
      </c>
      <c r="AG117" s="195">
        <v>9840</v>
      </c>
      <c r="AH117" s="195">
        <v>14320</v>
      </c>
      <c r="AI117" s="195">
        <v>10582</v>
      </c>
      <c r="AJ117" s="195">
        <v>10746</v>
      </c>
      <c r="AK117" s="195">
        <v>13120</v>
      </c>
      <c r="AL117" s="195">
        <v>12348</v>
      </c>
      <c r="AM117" s="195">
        <v>7920</v>
      </c>
      <c r="AN117" s="195">
        <v>13200</v>
      </c>
      <c r="AO117" s="195"/>
      <c r="AP117" s="195"/>
      <c r="AQ117" s="195"/>
      <c r="AR117" s="130">
        <f>SUM(AF117:AQ117)</f>
        <v>102396</v>
      </c>
      <c r="AS117" s="118">
        <f>+(AR117/Y117)-1</f>
        <v>-0.32062101910828023</v>
      </c>
      <c r="AT117" s="996" t="s">
        <v>775</v>
      </c>
      <c r="AU117" s="996"/>
      <c r="AV117" s="996"/>
      <c r="AW117" s="996"/>
      <c r="AX117" s="996"/>
    </row>
    <row r="118" spans="1:50" ht="64.5" customHeight="1" x14ac:dyDescent="0.3">
      <c r="B118" s="29"/>
      <c r="C118" s="30"/>
      <c r="D118" s="30"/>
      <c r="G118" s="129" t="s">
        <v>450</v>
      </c>
      <c r="H118" s="130">
        <v>5827</v>
      </c>
      <c r="I118" s="130">
        <v>7671.1</v>
      </c>
      <c r="J118" s="130">
        <v>9138</v>
      </c>
      <c r="K118" s="131">
        <f>+J118/12</f>
        <v>761.5</v>
      </c>
      <c r="L118" s="117">
        <f>+J118*0.01</f>
        <v>91.38</v>
      </c>
      <c r="M118" s="195">
        <v>608</v>
      </c>
      <c r="N118" s="195">
        <v>508</v>
      </c>
      <c r="O118" s="195">
        <v>594</v>
      </c>
      <c r="P118" s="195">
        <v>556</v>
      </c>
      <c r="Q118" s="195">
        <v>575</v>
      </c>
      <c r="R118" s="195">
        <v>556</v>
      </c>
      <c r="S118" s="195">
        <v>683</v>
      </c>
      <c r="T118" s="195">
        <v>547</v>
      </c>
      <c r="U118" s="195">
        <v>496</v>
      </c>
      <c r="V118" s="195">
        <v>548</v>
      </c>
      <c r="W118" s="195">
        <v>617</v>
      </c>
      <c r="X118" s="195">
        <v>703</v>
      </c>
      <c r="Y118" s="130">
        <f>SUM(M118:X118)</f>
        <v>6991</v>
      </c>
      <c r="Z118" s="118">
        <f>+(Y118/J118)-1</f>
        <v>-0.23495294375136788</v>
      </c>
      <c r="AA118" s="996"/>
      <c r="AB118" s="996"/>
      <c r="AC118" s="996"/>
      <c r="AD118" s="996"/>
      <c r="AE118" s="996"/>
      <c r="AF118" s="195">
        <v>521</v>
      </c>
      <c r="AG118" s="195">
        <v>443</v>
      </c>
      <c r="AH118" s="195">
        <v>554</v>
      </c>
      <c r="AI118" s="195">
        <v>540</v>
      </c>
      <c r="AJ118" s="195">
        <v>465</v>
      </c>
      <c r="AK118" s="195">
        <v>661</v>
      </c>
      <c r="AL118" s="195">
        <v>623</v>
      </c>
      <c r="AM118" s="195">
        <v>630</v>
      </c>
      <c r="AN118" s="254">
        <v>0</v>
      </c>
      <c r="AO118" s="195"/>
      <c r="AP118" s="195"/>
      <c r="AQ118" s="195"/>
      <c r="AR118" s="130">
        <f>SUM(AF118:AQ118)</f>
        <v>4437</v>
      </c>
      <c r="AS118" s="118">
        <f>+(AR118/Y118)-1</f>
        <v>-0.36532684880560717</v>
      </c>
      <c r="AT118" s="996"/>
      <c r="AU118" s="996"/>
      <c r="AV118" s="996"/>
      <c r="AW118" s="996"/>
      <c r="AX118" s="996"/>
    </row>
    <row r="119" spans="1:50" ht="58.5" customHeight="1" x14ac:dyDescent="0.25">
      <c r="G119" s="215" t="s">
        <v>81</v>
      </c>
      <c r="H119" s="130">
        <f>SUM(H117:H118)</f>
        <v>168521</v>
      </c>
      <c r="I119" s="130">
        <f>SUM(I117:I118)</f>
        <v>193985.1</v>
      </c>
      <c r="J119" s="130">
        <f>SUM(J117:J118)</f>
        <v>121892</v>
      </c>
      <c r="K119" s="131">
        <f>+J119/12</f>
        <v>10157.666666666666</v>
      </c>
      <c r="L119" s="117">
        <f>+J119*0.01</f>
        <v>1218.92</v>
      </c>
      <c r="M119" s="130">
        <f>SUM(M117:M118)</f>
        <v>13808</v>
      </c>
      <c r="N119" s="130">
        <f>SUM(N117:N118)</f>
        <v>11708</v>
      </c>
      <c r="O119" s="130">
        <f t="shared" ref="O119:Y119" si="29">SUM(O117:O118)</f>
        <v>15634</v>
      </c>
      <c r="P119" s="130">
        <f t="shared" si="29"/>
        <v>12636</v>
      </c>
      <c r="Q119" s="130">
        <f t="shared" si="29"/>
        <v>12975</v>
      </c>
      <c r="R119" s="130">
        <f t="shared" si="29"/>
        <v>13196</v>
      </c>
      <c r="S119" s="130">
        <f t="shared" si="29"/>
        <v>13563</v>
      </c>
      <c r="T119" s="130">
        <f t="shared" si="29"/>
        <v>13267</v>
      </c>
      <c r="U119" s="130">
        <f t="shared" si="29"/>
        <v>13216</v>
      </c>
      <c r="V119" s="130">
        <f t="shared" si="29"/>
        <v>13028</v>
      </c>
      <c r="W119" s="130">
        <f t="shared" si="29"/>
        <v>11817</v>
      </c>
      <c r="X119" s="130">
        <f t="shared" si="29"/>
        <v>12863</v>
      </c>
      <c r="Y119" s="130">
        <f t="shared" si="29"/>
        <v>157711</v>
      </c>
      <c r="Z119" s="118">
        <f>+(Y119/J119)-1</f>
        <v>0.29385849768647665</v>
      </c>
      <c r="AA119" s="996"/>
      <c r="AB119" s="996"/>
      <c r="AC119" s="996"/>
      <c r="AD119" s="996"/>
      <c r="AE119" s="996"/>
      <c r="AF119" s="130">
        <f>SUM(AF117:AF118)</f>
        <v>10841</v>
      </c>
      <c r="AG119" s="130">
        <f>SUM(AG117:AG118)</f>
        <v>10283</v>
      </c>
      <c r="AH119" s="130">
        <f t="shared" ref="AH119:AR119" si="30">SUM(AH117:AH118)</f>
        <v>14874</v>
      </c>
      <c r="AI119" s="130">
        <f t="shared" si="30"/>
        <v>11122</v>
      </c>
      <c r="AJ119" s="130">
        <f t="shared" si="30"/>
        <v>11211</v>
      </c>
      <c r="AK119" s="130">
        <f t="shared" si="30"/>
        <v>13781</v>
      </c>
      <c r="AL119" s="130">
        <f t="shared" si="30"/>
        <v>12971</v>
      </c>
      <c r="AM119" s="130">
        <f t="shared" si="30"/>
        <v>8550</v>
      </c>
      <c r="AN119" s="130">
        <f t="shared" si="30"/>
        <v>13200</v>
      </c>
      <c r="AO119" s="130">
        <f t="shared" si="30"/>
        <v>0</v>
      </c>
      <c r="AP119" s="130">
        <f t="shared" si="30"/>
        <v>0</v>
      </c>
      <c r="AQ119" s="130">
        <f t="shared" si="30"/>
        <v>0</v>
      </c>
      <c r="AR119" s="130">
        <f t="shared" si="30"/>
        <v>106833</v>
      </c>
      <c r="AS119" s="118">
        <f>+(AR119/Y119)-1</f>
        <v>-0.32260273538307416</v>
      </c>
      <c r="AT119" s="996"/>
      <c r="AU119" s="996"/>
      <c r="AV119" s="996"/>
      <c r="AW119" s="996"/>
      <c r="AX119" s="996"/>
    </row>
    <row r="120" spans="1:50" ht="51.75" customHeight="1" x14ac:dyDescent="0.25"/>
    <row r="122" spans="1:50" ht="51" customHeight="1" x14ac:dyDescent="0.25">
      <c r="A122" s="1139" t="str">
        <f>+D21</f>
        <v>N° DE HERRAMIENTAS TECNOLÓGICAS PARA LA ADMINISTRACIÓN, SEGUIMIENTO Y CONTROL DE LOS CONTRATOS ADQUIRIDOS E IMPLEMENTADAS.</v>
      </c>
      <c r="B122" s="1139"/>
      <c r="C122" s="1139"/>
      <c r="D122" s="1139"/>
      <c r="E122" s="1139"/>
      <c r="F122" s="1139"/>
      <c r="G122" s="1139"/>
      <c r="H122" s="1139"/>
      <c r="I122" s="1139"/>
      <c r="J122" s="1139"/>
      <c r="K122" s="1139"/>
      <c r="L122" s="1139"/>
      <c r="M122" s="1139"/>
      <c r="N122" s="1139"/>
      <c r="O122" s="1139"/>
    </row>
    <row r="123" spans="1:50" ht="51" customHeight="1" x14ac:dyDescent="0.25">
      <c r="A123" s="108" t="s">
        <v>76</v>
      </c>
      <c r="B123" s="108" t="s">
        <v>95</v>
      </c>
      <c r="C123" s="1186" t="s">
        <v>78</v>
      </c>
      <c r="D123" s="1186"/>
      <c r="E123" s="1186"/>
      <c r="F123" s="1186"/>
      <c r="G123" s="1186"/>
      <c r="H123" s="1186" t="s">
        <v>79</v>
      </c>
      <c r="I123" s="1186"/>
      <c r="J123" s="1186"/>
      <c r="K123" s="1186"/>
      <c r="L123" s="1186"/>
      <c r="M123" s="1186"/>
      <c r="N123" s="1186"/>
      <c r="O123" s="1186"/>
    </row>
    <row r="124" spans="1:50" ht="118.5" customHeight="1" x14ac:dyDescent="0.25">
      <c r="A124" s="19" t="s">
        <v>734</v>
      </c>
      <c r="B124" s="196">
        <v>1</v>
      </c>
      <c r="C124" s="1248" t="s">
        <v>776</v>
      </c>
      <c r="D124" s="1248"/>
      <c r="E124" s="1248"/>
      <c r="F124" s="1248"/>
      <c r="G124" s="1248"/>
      <c r="H124" s="1249" t="s">
        <v>777</v>
      </c>
      <c r="I124" s="1249"/>
      <c r="J124" s="1249"/>
      <c r="K124" s="1249"/>
      <c r="L124" s="1249"/>
      <c r="M124" s="1249"/>
      <c r="N124" s="1249"/>
      <c r="O124" s="1249"/>
    </row>
    <row r="125" spans="1:50" ht="25.5" customHeight="1" x14ac:dyDescent="0.25"/>
    <row r="126" spans="1:50" ht="46.5" customHeight="1" x14ac:dyDescent="0.25">
      <c r="A126" s="1139" t="str">
        <f>+D24</f>
        <v>N° DE EVENTOS DE CAPACITACIÓN Y/O REINDUCCIÓN EN PLANEACIÓN, IDENTIFICACIÓN DE RIESGOS, MANUALES Y PROCEDIMIENTOS DE CONTRATACIÓN.</v>
      </c>
      <c r="B126" s="1139"/>
      <c r="C126" s="1139"/>
      <c r="D126" s="1139"/>
      <c r="E126" s="1139"/>
      <c r="F126" s="1139"/>
      <c r="G126" s="1139"/>
      <c r="H126" s="1139"/>
      <c r="I126" s="1139"/>
      <c r="J126" s="1139"/>
      <c r="K126" s="1139"/>
      <c r="L126" s="1139"/>
      <c r="M126" s="1139"/>
      <c r="N126" s="1139"/>
      <c r="O126" s="1139"/>
    </row>
    <row r="127" spans="1:50" ht="46.5" customHeight="1" x14ac:dyDescent="0.25">
      <c r="A127" s="108" t="s">
        <v>76</v>
      </c>
      <c r="B127" s="108" t="s">
        <v>95</v>
      </c>
      <c r="C127" s="1186" t="s">
        <v>78</v>
      </c>
      <c r="D127" s="1186"/>
      <c r="E127" s="1186"/>
      <c r="F127" s="1186"/>
      <c r="G127" s="1186"/>
      <c r="H127" s="1186" t="s">
        <v>79</v>
      </c>
      <c r="I127" s="1186"/>
      <c r="J127" s="1186"/>
      <c r="K127" s="1186"/>
      <c r="L127" s="1186"/>
      <c r="M127" s="1186"/>
      <c r="N127" s="1186"/>
      <c r="O127" s="1186"/>
    </row>
    <row r="128" spans="1:50" ht="147" customHeight="1" x14ac:dyDescent="0.25">
      <c r="A128" s="19" t="s">
        <v>407</v>
      </c>
      <c r="B128" s="177">
        <v>1</v>
      </c>
      <c r="C128" s="1248" t="s">
        <v>778</v>
      </c>
      <c r="D128" s="1248"/>
      <c r="E128" s="1248"/>
      <c r="F128" s="1248"/>
      <c r="G128" s="1248"/>
      <c r="H128" s="1249" t="s">
        <v>779</v>
      </c>
      <c r="I128" s="1249"/>
      <c r="J128" s="1249"/>
      <c r="K128" s="1249"/>
      <c r="L128" s="1249"/>
      <c r="M128" s="1249"/>
      <c r="N128" s="1249"/>
      <c r="O128" s="1249"/>
    </row>
    <row r="129" ht="69" customHeight="1" x14ac:dyDescent="0.25"/>
    <row r="130" ht="69" customHeight="1" x14ac:dyDescent="0.25"/>
  </sheetData>
  <mergeCells count="177">
    <mergeCell ref="AT97:AX102"/>
    <mergeCell ref="AF115:AR115"/>
    <mergeCell ref="AF114:AR114"/>
    <mergeCell ref="AA114:AE116"/>
    <mergeCell ref="AS114:AS116"/>
    <mergeCell ref="AT114:AX116"/>
    <mergeCell ref="AT117:AX119"/>
    <mergeCell ref="G112:AX112"/>
    <mergeCell ref="H113:AX113"/>
    <mergeCell ref="AA97:AE102"/>
    <mergeCell ref="A106:AD106"/>
    <mergeCell ref="A109:F109"/>
    <mergeCell ref="A110:F110"/>
    <mergeCell ref="G113:G116"/>
    <mergeCell ref="H114:H116"/>
    <mergeCell ref="I114:I116"/>
    <mergeCell ref="J114:L114"/>
    <mergeCell ref="M114:Y114"/>
    <mergeCell ref="Z114:Z116"/>
    <mergeCell ref="J115:J116"/>
    <mergeCell ref="K115:K116"/>
    <mergeCell ref="L115:L116"/>
    <mergeCell ref="AT57:AW59"/>
    <mergeCell ref="G55:AW55"/>
    <mergeCell ref="I56:AW56"/>
    <mergeCell ref="AT60:AW83"/>
    <mergeCell ref="AF94:AR94"/>
    <mergeCell ref="AF95:AR95"/>
    <mergeCell ref="AA94:AE96"/>
    <mergeCell ref="AS94:AS96"/>
    <mergeCell ref="AT94:AX96"/>
    <mergeCell ref="G92:AX92"/>
    <mergeCell ref="H93:AX93"/>
    <mergeCell ref="G60:G62"/>
    <mergeCell ref="AB60:AE83"/>
    <mergeCell ref="G63:G65"/>
    <mergeCell ref="G66:G68"/>
    <mergeCell ref="G69:G71"/>
    <mergeCell ref="G72:G74"/>
    <mergeCell ref="G75:G77"/>
    <mergeCell ref="G78:G80"/>
    <mergeCell ref="G81:G83"/>
    <mergeCell ref="A86:AE86"/>
    <mergeCell ref="A89:F89"/>
    <mergeCell ref="A90:F90"/>
    <mergeCell ref="G93:G96"/>
    <mergeCell ref="G43:G45"/>
    <mergeCell ref="L43:O43"/>
    <mergeCell ref="L44:O44"/>
    <mergeCell ref="L45:O45"/>
    <mergeCell ref="AF57:AR57"/>
    <mergeCell ref="AF58:AR58"/>
    <mergeCell ref="AS57:AS59"/>
    <mergeCell ref="AB57:AE59"/>
    <mergeCell ref="E12:E14"/>
    <mergeCell ref="F12:F14"/>
    <mergeCell ref="A27:O27"/>
    <mergeCell ref="A30:F30"/>
    <mergeCell ref="A31:F31"/>
    <mergeCell ref="G33:H34"/>
    <mergeCell ref="I33:K33"/>
    <mergeCell ref="L33:O34"/>
    <mergeCell ref="O21:O23"/>
    <mergeCell ref="A9:B25"/>
    <mergeCell ref="C24:C25"/>
    <mergeCell ref="D24:D25"/>
    <mergeCell ref="E24:E25"/>
    <mergeCell ref="F24:F25"/>
    <mergeCell ref="G24:I25"/>
    <mergeCell ref="J24:J25"/>
    <mergeCell ref="A2:O2"/>
    <mergeCell ref="A4:B8"/>
    <mergeCell ref="C4:C8"/>
    <mergeCell ref="D4:D8"/>
    <mergeCell ref="E4:E8"/>
    <mergeCell ref="F4:F8"/>
    <mergeCell ref="G4:I4"/>
    <mergeCell ref="J4:J8"/>
    <mergeCell ref="K4:K8"/>
    <mergeCell ref="L4:M4"/>
    <mergeCell ref="N4:N8"/>
    <mergeCell ref="O4:O8"/>
    <mergeCell ref="G9:I11"/>
    <mergeCell ref="J9:J11"/>
    <mergeCell ref="K9:K11"/>
    <mergeCell ref="N9:N11"/>
    <mergeCell ref="O9:O11"/>
    <mergeCell ref="C9:C11"/>
    <mergeCell ref="D9:D11"/>
    <mergeCell ref="N12:N14"/>
    <mergeCell ref="J18:J20"/>
    <mergeCell ref="E9:E11"/>
    <mergeCell ref="F9:F11"/>
    <mergeCell ref="A1:D1"/>
    <mergeCell ref="N21:N23"/>
    <mergeCell ref="K18:K20"/>
    <mergeCell ref="N18:N20"/>
    <mergeCell ref="O18:O20"/>
    <mergeCell ref="C21:C23"/>
    <mergeCell ref="D21:D23"/>
    <mergeCell ref="E21:E23"/>
    <mergeCell ref="F21:F23"/>
    <mergeCell ref="G21:I23"/>
    <mergeCell ref="J21:J23"/>
    <mergeCell ref="K21:K23"/>
    <mergeCell ref="C18:C20"/>
    <mergeCell ref="D18:D20"/>
    <mergeCell ref="E18:E20"/>
    <mergeCell ref="F18:F20"/>
    <mergeCell ref="G18:I20"/>
    <mergeCell ref="O12:O14"/>
    <mergeCell ref="C15:C17"/>
    <mergeCell ref="D15:D17"/>
    <mergeCell ref="E15:E17"/>
    <mergeCell ref="F15:F17"/>
    <mergeCell ref="C12:C14"/>
    <mergeCell ref="D12:D14"/>
    <mergeCell ref="K24:K25"/>
    <mergeCell ref="N24:N25"/>
    <mergeCell ref="O24:O25"/>
    <mergeCell ref="K15:K17"/>
    <mergeCell ref="N15:N17"/>
    <mergeCell ref="O15:O17"/>
    <mergeCell ref="G12:I14"/>
    <mergeCell ref="J12:J14"/>
    <mergeCell ref="K12:K14"/>
    <mergeCell ref="G15:I17"/>
    <mergeCell ref="J15:J17"/>
    <mergeCell ref="L40:O40"/>
    <mergeCell ref="L41:O41"/>
    <mergeCell ref="L42:O42"/>
    <mergeCell ref="G35:H35"/>
    <mergeCell ref="L35:O35"/>
    <mergeCell ref="G36:H36"/>
    <mergeCell ref="L36:O36"/>
    <mergeCell ref="G37:H37"/>
    <mergeCell ref="L37:O37"/>
    <mergeCell ref="G38:H38"/>
    <mergeCell ref="L38:O38"/>
    <mergeCell ref="G39:H39"/>
    <mergeCell ref="L39:O39"/>
    <mergeCell ref="G40:G42"/>
    <mergeCell ref="A49:AE49"/>
    <mergeCell ref="A52:F52"/>
    <mergeCell ref="A53:F53"/>
    <mergeCell ref="G56:G59"/>
    <mergeCell ref="H56:H59"/>
    <mergeCell ref="I57:I59"/>
    <mergeCell ref="J57:J59"/>
    <mergeCell ref="K57:M57"/>
    <mergeCell ref="N57:Z57"/>
    <mergeCell ref="AA57:AA59"/>
    <mergeCell ref="K58:K59"/>
    <mergeCell ref="L58:L59"/>
    <mergeCell ref="M58:M59"/>
    <mergeCell ref="N58:Z58"/>
    <mergeCell ref="H94:H96"/>
    <mergeCell ref="I94:I96"/>
    <mergeCell ref="J94:L94"/>
    <mergeCell ref="M94:Y94"/>
    <mergeCell ref="Z94:Z96"/>
    <mergeCell ref="J95:J96"/>
    <mergeCell ref="K95:K96"/>
    <mergeCell ref="L95:L96"/>
    <mergeCell ref="M95:Y95"/>
    <mergeCell ref="C128:G128"/>
    <mergeCell ref="H128:O128"/>
    <mergeCell ref="C124:G124"/>
    <mergeCell ref="H124:O124"/>
    <mergeCell ref="A126:O126"/>
    <mergeCell ref="C127:G127"/>
    <mergeCell ref="H127:O127"/>
    <mergeCell ref="M115:Y115"/>
    <mergeCell ref="AA117:AE119"/>
    <mergeCell ref="A122:O122"/>
    <mergeCell ref="C123:G123"/>
    <mergeCell ref="H123:O123"/>
  </mergeCells>
  <hyperlinks>
    <hyperlink ref="A27:O27" location="'Hoja 11. TABLA DE CONTROL'!B51" display="'Hoja 11. TABLA DE CONTROL'!B51" xr:uid="{00000000-0004-0000-3F00-000000000000}"/>
    <hyperlink ref="D9:D11" location="'Hoja 8. RI'!A27" display="PORCENTAJE  (%) DE ENCUESTAS DE SATISFACCIÓN  DEL SERVICIO PRESTADO POR EL PROCESO DE GESTIÓN DE RECURSOS E INFRAESTRUCTURA (ALMACÉN, CONTRATACIÓN, SISTEMAS), CALIFICADAS POR PARTE DE LOS FUNCIONARIOS CON UNA NOTA IGUAL O SUPERIOR A TRES PUNTO CINCO (3.5)" xr:uid="{00000000-0004-0000-3F00-000001000000}"/>
    <hyperlink ref="A49:AE49" location="'Hoja 11. TABLA DE CONTROL'!B52" display="'Hoja 11. TABLA DE CONTROL'!B52" xr:uid="{00000000-0004-0000-3F00-000002000000}"/>
    <hyperlink ref="A86:AE86" location="'Hoja 11. TABLA DE CONTROL'!B53" display="'Hoja 11. TABLA DE CONTROL'!B53" xr:uid="{00000000-0004-0000-3F00-000003000000}"/>
    <hyperlink ref="D12:D14" location="'Hoja 8. RI'!A49" display="PORCENTAJE (%) DE DISMINUCIÓN DE CONSUMO DE PAPEL." xr:uid="{00000000-0004-0000-3F00-000004000000}"/>
    <hyperlink ref="D15:D17" location="'Hoja 8. RI'!A86" display="PORCENTAJE (%) DE DISMINUCIÓN DE CONSUMO DE AGUA." xr:uid="{00000000-0004-0000-3F00-000005000000}"/>
    <hyperlink ref="A106:AD106" location="'Hoja 11. TABLA DE CONTROL'!B54" display="'Hoja 11. TABLA DE CONTROL'!B54" xr:uid="{00000000-0004-0000-3F00-000006000000}"/>
    <hyperlink ref="D18:D20" location="'Hoja 8. RI'!A106" display="PORCENTAJE (%)  DE DISMINUCIÓN DE CONSUMO DE ENERGÍA." xr:uid="{00000000-0004-0000-3F00-000007000000}"/>
    <hyperlink ref="A122:O122" location="'Hoja 11. TABLA DE CONTROL'!B55" display="'Hoja 11. TABLA DE CONTROL'!B55" xr:uid="{00000000-0004-0000-3F00-000008000000}"/>
    <hyperlink ref="A126:O126" location="'Hoja 11. TABLA DE CONTROL'!B56" display="'Hoja 11. TABLA DE CONTROL'!B56" xr:uid="{00000000-0004-0000-3F00-000009000000}"/>
    <hyperlink ref="D21:D23" location="'Hoja 8. RI'!A122" display="N° DE HERRAMIENTAS TECNOLÓGICAS PARA LA ADMINISTRACIÓN, SEGUIMIENTO Y CONTROL DE LOS CONTRATOS ADQUIRIDOS E IMPLEMENTADAS." xr:uid="{00000000-0004-0000-3F00-00000A000000}"/>
    <hyperlink ref="D24:D25" location="'Hoja 8. RI'!A126" display="N° DE EVENTOS DE CAPACITACIÓN Y/O REINDUCCIÓN EN PLANEACIÓN, IDENTIFICACIÓN DE RIESGOS, MANUALES Y PROCEDIMIENTOS DE CONTRATACIÓN." xr:uid="{00000000-0004-0000-3F00-00000B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06
Hoja 8. Indicadores Proceso Gestión de Recursos e Infraestructura
Página &amp;P de &amp;N</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tabColor rgb="FF006600"/>
  </sheetPr>
  <dimension ref="A2:P27"/>
  <sheetViews>
    <sheetView showGridLines="0" topLeftCell="I1" zoomScale="40" zoomScaleNormal="40" workbookViewId="0">
      <selection activeCell="O25" sqref="O25:O27"/>
    </sheetView>
  </sheetViews>
  <sheetFormatPr baseColWidth="10" defaultColWidth="11.453125" defaultRowHeight="14" x14ac:dyDescent="0.3"/>
  <cols>
    <col min="1" max="2" width="12.54296875" style="594" customWidth="1"/>
    <col min="3" max="3" width="18.90625" style="594" customWidth="1"/>
    <col min="4" max="4" width="24.453125" style="594" customWidth="1"/>
    <col min="5" max="5" width="28.90625" style="594" customWidth="1"/>
    <col min="6" max="6" width="24.08984375" style="594" customWidth="1"/>
    <col min="7" max="7" width="14.54296875" style="594" customWidth="1"/>
    <col min="8" max="8" width="21.08984375" style="594" customWidth="1"/>
    <col min="9" max="9" width="16.6328125" style="594" customWidth="1"/>
    <col min="10" max="10" width="15.90625" style="594" customWidth="1"/>
    <col min="11" max="11" width="15" style="594" customWidth="1"/>
    <col min="12" max="12" width="25.36328125" style="594" customWidth="1"/>
    <col min="13" max="13" width="41.36328125" style="594" customWidth="1"/>
    <col min="14" max="14" width="22.36328125" style="594" customWidth="1"/>
    <col min="15" max="15" width="21" style="594" customWidth="1"/>
    <col min="16" max="16" width="28.54296875" style="2" customWidth="1"/>
    <col min="17" max="16384" width="11.453125" style="594"/>
  </cols>
  <sheetData>
    <row r="2" spans="1:16" ht="64.5" customHeight="1" x14ac:dyDescent="0.3">
      <c r="A2" s="1078"/>
      <c r="B2" s="1078"/>
      <c r="C2" s="1078"/>
      <c r="D2" s="1078"/>
      <c r="E2" s="593"/>
      <c r="F2" s="593"/>
      <c r="G2" s="593"/>
      <c r="H2" s="593"/>
      <c r="I2" s="593"/>
      <c r="J2" s="593"/>
      <c r="K2" s="593"/>
      <c r="L2" s="593"/>
      <c r="M2" s="593"/>
      <c r="N2" s="593"/>
      <c r="O2" s="593"/>
    </row>
    <row r="3" spans="1:16" ht="27.75" customHeight="1" x14ac:dyDescent="0.3">
      <c r="A3" s="1260" t="s">
        <v>25</v>
      </c>
      <c r="B3" s="1261"/>
      <c r="C3" s="1261"/>
      <c r="D3" s="1261"/>
      <c r="E3" s="1261"/>
      <c r="F3" s="1261"/>
      <c r="G3" s="1261"/>
      <c r="H3" s="1261"/>
      <c r="I3" s="1261"/>
      <c r="J3" s="1261"/>
      <c r="K3" s="1261"/>
      <c r="L3" s="1261"/>
      <c r="M3" s="1261"/>
      <c r="N3" s="1261"/>
      <c r="O3" s="1262"/>
    </row>
    <row r="5" spans="1:16" s="595" customFormat="1" ht="41.25" customHeight="1" x14ac:dyDescent="0.35">
      <c r="A5" s="1203" t="s">
        <v>0</v>
      </c>
      <c r="B5" s="1203"/>
      <c r="C5" s="1203" t="s">
        <v>26</v>
      </c>
      <c r="D5" s="1203" t="s">
        <v>1</v>
      </c>
      <c r="E5" s="1203" t="s">
        <v>2</v>
      </c>
      <c r="F5" s="1203" t="s">
        <v>3</v>
      </c>
      <c r="G5" s="1203" t="s">
        <v>1185</v>
      </c>
      <c r="H5" s="1203"/>
      <c r="I5" s="1203"/>
      <c r="J5" s="1204" t="s">
        <v>4</v>
      </c>
      <c r="K5" s="1204" t="s">
        <v>5</v>
      </c>
      <c r="L5" s="1206" t="s">
        <v>1186</v>
      </c>
      <c r="M5" s="1207"/>
      <c r="N5" s="1204" t="s">
        <v>6</v>
      </c>
      <c r="O5" s="1204" t="s">
        <v>7</v>
      </c>
      <c r="P5" s="754" t="s">
        <v>1222</v>
      </c>
    </row>
    <row r="6" spans="1:16" s="595" customFormat="1" ht="61.5" customHeight="1" x14ac:dyDescent="0.35">
      <c r="A6" s="1203"/>
      <c r="B6" s="1203"/>
      <c r="C6" s="1203"/>
      <c r="D6" s="1203"/>
      <c r="E6" s="1203"/>
      <c r="F6" s="1203"/>
      <c r="G6" s="651" t="s">
        <v>31</v>
      </c>
      <c r="H6" s="651" t="s">
        <v>32</v>
      </c>
      <c r="I6" s="651" t="s">
        <v>43</v>
      </c>
      <c r="J6" s="1205"/>
      <c r="K6" s="1205"/>
      <c r="L6" s="651" t="s">
        <v>47</v>
      </c>
      <c r="M6" s="651" t="s">
        <v>48</v>
      </c>
      <c r="N6" s="1205"/>
      <c r="O6" s="1205"/>
      <c r="P6" s="755"/>
    </row>
    <row r="7" spans="1:16" s="595" customFormat="1" ht="62.5" x14ac:dyDescent="0.35">
      <c r="A7" s="1203"/>
      <c r="B7" s="1203"/>
      <c r="C7" s="1203"/>
      <c r="D7" s="1203"/>
      <c r="E7" s="1203"/>
      <c r="F7" s="1203"/>
      <c r="G7" s="652" t="s">
        <v>35</v>
      </c>
      <c r="H7" s="653" t="s">
        <v>37</v>
      </c>
      <c r="I7" s="652" t="s">
        <v>40</v>
      </c>
      <c r="J7" s="1205"/>
      <c r="K7" s="1205"/>
      <c r="L7" s="572" t="s">
        <v>44</v>
      </c>
      <c r="M7" s="653" t="s">
        <v>52</v>
      </c>
      <c r="N7" s="1205"/>
      <c r="O7" s="1205"/>
      <c r="P7" s="755"/>
    </row>
    <row r="8" spans="1:16" s="595" customFormat="1" ht="62.5" x14ac:dyDescent="0.35">
      <c r="A8" s="1203"/>
      <c r="B8" s="1203"/>
      <c r="C8" s="1203"/>
      <c r="D8" s="1203"/>
      <c r="E8" s="1203"/>
      <c r="F8" s="1203"/>
      <c r="G8" s="652" t="s">
        <v>34</v>
      </c>
      <c r="H8" s="653" t="s">
        <v>38</v>
      </c>
      <c r="I8" s="652" t="s">
        <v>41</v>
      </c>
      <c r="J8" s="1205"/>
      <c r="K8" s="1205"/>
      <c r="L8" s="573" t="s">
        <v>45</v>
      </c>
      <c r="M8" s="653" t="s">
        <v>50</v>
      </c>
      <c r="N8" s="1205"/>
      <c r="O8" s="1205"/>
      <c r="P8" s="755"/>
    </row>
    <row r="9" spans="1:16" s="595" customFormat="1" ht="72" customHeight="1" x14ac:dyDescent="0.35">
      <c r="A9" s="1203"/>
      <c r="B9" s="1203"/>
      <c r="C9" s="1204"/>
      <c r="D9" s="1204"/>
      <c r="E9" s="1204"/>
      <c r="F9" s="1204"/>
      <c r="G9" s="654" t="s">
        <v>36</v>
      </c>
      <c r="H9" s="655" t="s">
        <v>39</v>
      </c>
      <c r="I9" s="654" t="s">
        <v>42</v>
      </c>
      <c r="J9" s="1205"/>
      <c r="K9" s="1205"/>
      <c r="L9" s="585" t="s">
        <v>46</v>
      </c>
      <c r="M9" s="655" t="s">
        <v>51</v>
      </c>
      <c r="N9" s="1205"/>
      <c r="O9" s="1205"/>
      <c r="P9" s="756"/>
    </row>
    <row r="10" spans="1:16" ht="63.5" customHeight="1" x14ac:dyDescent="0.3">
      <c r="A10" s="728"/>
      <c r="B10" s="730"/>
      <c r="C10" s="1202"/>
      <c r="D10" s="787"/>
      <c r="E10" s="724"/>
      <c r="F10" s="724"/>
      <c r="G10" s="737"/>
      <c r="H10" s="737"/>
      <c r="I10" s="737"/>
      <c r="J10" s="724"/>
      <c r="K10" s="741"/>
      <c r="L10" s="610"/>
      <c r="M10" s="584"/>
      <c r="N10" s="737"/>
      <c r="O10" s="737"/>
      <c r="P10" s="782"/>
    </row>
    <row r="11" spans="1:16" ht="63.5" customHeight="1" x14ac:dyDescent="0.3">
      <c r="A11" s="731"/>
      <c r="B11" s="733"/>
      <c r="C11" s="1202"/>
      <c r="D11" s="787"/>
      <c r="E11" s="724"/>
      <c r="F11" s="724"/>
      <c r="G11" s="737"/>
      <c r="H11" s="737"/>
      <c r="I11" s="737"/>
      <c r="J11" s="724"/>
      <c r="K11" s="1076"/>
      <c r="L11" s="610"/>
      <c r="M11" s="582"/>
      <c r="N11" s="737"/>
      <c r="O11" s="737"/>
      <c r="P11" s="783"/>
    </row>
    <row r="12" spans="1:16" ht="63.5" customHeight="1" x14ac:dyDescent="0.3">
      <c r="A12" s="731"/>
      <c r="B12" s="733"/>
      <c r="C12" s="1202"/>
      <c r="D12" s="787"/>
      <c r="E12" s="724"/>
      <c r="F12" s="724"/>
      <c r="G12" s="737"/>
      <c r="H12" s="737"/>
      <c r="I12" s="737"/>
      <c r="J12" s="724"/>
      <c r="K12" s="1077"/>
      <c r="L12" s="610"/>
      <c r="M12" s="583"/>
      <c r="N12" s="737"/>
      <c r="O12" s="737"/>
      <c r="P12" s="783"/>
    </row>
    <row r="13" spans="1:16" ht="63.5" customHeight="1" x14ac:dyDescent="0.3">
      <c r="A13" s="731"/>
      <c r="B13" s="733"/>
      <c r="C13" s="1199"/>
      <c r="D13" s="787"/>
      <c r="E13" s="737"/>
      <c r="F13" s="740"/>
      <c r="G13" s="737"/>
      <c r="H13" s="737"/>
      <c r="I13" s="737"/>
      <c r="J13" s="796"/>
      <c r="K13" s="790"/>
      <c r="L13" s="580"/>
      <c r="M13" s="584"/>
      <c r="N13" s="737"/>
      <c r="O13" s="724"/>
      <c r="P13" s="782"/>
    </row>
    <row r="14" spans="1:16" ht="63.5" customHeight="1" x14ac:dyDescent="0.3">
      <c r="A14" s="731"/>
      <c r="B14" s="733"/>
      <c r="C14" s="1200"/>
      <c r="D14" s="787"/>
      <c r="E14" s="737"/>
      <c r="F14" s="737"/>
      <c r="G14" s="737"/>
      <c r="H14" s="737"/>
      <c r="I14" s="737"/>
      <c r="J14" s="796"/>
      <c r="K14" s="1118"/>
      <c r="L14" s="579"/>
      <c r="M14" s="577"/>
      <c r="N14" s="737"/>
      <c r="O14" s="724"/>
      <c r="P14" s="783"/>
    </row>
    <row r="15" spans="1:16" ht="63.5" customHeight="1" x14ac:dyDescent="0.3">
      <c r="A15" s="731"/>
      <c r="B15" s="733"/>
      <c r="C15" s="1201"/>
      <c r="D15" s="787"/>
      <c r="E15" s="737"/>
      <c r="F15" s="737"/>
      <c r="G15" s="737"/>
      <c r="H15" s="737"/>
      <c r="I15" s="737"/>
      <c r="J15" s="796"/>
      <c r="K15" s="1119"/>
      <c r="L15" s="579"/>
      <c r="M15" s="578"/>
      <c r="N15" s="737"/>
      <c r="O15" s="724"/>
      <c r="P15" s="783"/>
    </row>
    <row r="16" spans="1:16" ht="63.5" customHeight="1" x14ac:dyDescent="0.3">
      <c r="A16" s="731"/>
      <c r="B16" s="733"/>
      <c r="C16" s="1199"/>
      <c r="D16" s="787"/>
      <c r="E16" s="737"/>
      <c r="F16" s="740"/>
      <c r="G16" s="737"/>
      <c r="H16" s="737"/>
      <c r="I16" s="737"/>
      <c r="J16" s="796"/>
      <c r="K16" s="765"/>
      <c r="L16" s="575"/>
      <c r="M16" s="576"/>
      <c r="N16" s="737"/>
      <c r="O16" s="724"/>
      <c r="P16" s="782"/>
    </row>
    <row r="17" spans="1:16" ht="63.5" customHeight="1" x14ac:dyDescent="0.3">
      <c r="A17" s="731"/>
      <c r="B17" s="733"/>
      <c r="C17" s="1200"/>
      <c r="D17" s="787"/>
      <c r="E17" s="737"/>
      <c r="F17" s="737"/>
      <c r="G17" s="737"/>
      <c r="H17" s="737"/>
      <c r="I17" s="737"/>
      <c r="J17" s="796"/>
      <c r="K17" s="766"/>
      <c r="L17" s="575"/>
      <c r="M17" s="577"/>
      <c r="N17" s="737"/>
      <c r="O17" s="724"/>
      <c r="P17" s="783"/>
    </row>
    <row r="18" spans="1:16" ht="63.5" customHeight="1" x14ac:dyDescent="0.3">
      <c r="A18" s="731"/>
      <c r="B18" s="733"/>
      <c r="C18" s="1201"/>
      <c r="D18" s="787"/>
      <c r="E18" s="737"/>
      <c r="F18" s="737"/>
      <c r="G18" s="737"/>
      <c r="H18" s="737"/>
      <c r="I18" s="737"/>
      <c r="J18" s="796"/>
      <c r="K18" s="767"/>
      <c r="L18" s="628"/>
      <c r="M18" s="578"/>
      <c r="N18" s="737"/>
      <c r="O18" s="724"/>
      <c r="P18" s="783"/>
    </row>
    <row r="19" spans="1:16" ht="63.5" customHeight="1" x14ac:dyDescent="0.3">
      <c r="A19" s="731"/>
      <c r="B19" s="733"/>
      <c r="C19" s="1202"/>
      <c r="D19" s="787"/>
      <c r="E19" s="788"/>
      <c r="F19" s="789"/>
      <c r="G19" s="723"/>
      <c r="H19" s="737"/>
      <c r="I19" s="793"/>
      <c r="J19" s="794"/>
      <c r="K19" s="820"/>
      <c r="L19" s="579"/>
      <c r="M19" s="581"/>
      <c r="N19" s="737"/>
      <c r="O19" s="737"/>
      <c r="P19" s="1124"/>
    </row>
    <row r="20" spans="1:16" ht="63.5" customHeight="1" x14ac:dyDescent="0.3">
      <c r="A20" s="731"/>
      <c r="B20" s="733"/>
      <c r="C20" s="1202"/>
      <c r="D20" s="787"/>
      <c r="E20" s="788"/>
      <c r="F20" s="789"/>
      <c r="G20" s="723"/>
      <c r="H20" s="737"/>
      <c r="I20" s="793"/>
      <c r="J20" s="794"/>
      <c r="K20" s="791"/>
      <c r="L20" s="579"/>
      <c r="M20" s="582"/>
      <c r="N20" s="737"/>
      <c r="O20" s="737"/>
      <c r="P20" s="1125"/>
    </row>
    <row r="21" spans="1:16" ht="63.5" customHeight="1" x14ac:dyDescent="0.3">
      <c r="A21" s="731"/>
      <c r="B21" s="733"/>
      <c r="C21" s="1202"/>
      <c r="D21" s="787"/>
      <c r="E21" s="788"/>
      <c r="F21" s="789"/>
      <c r="G21" s="723"/>
      <c r="H21" s="737"/>
      <c r="I21" s="793"/>
      <c r="J21" s="794"/>
      <c r="K21" s="792"/>
      <c r="L21" s="579"/>
      <c r="M21" s="583"/>
      <c r="N21" s="737"/>
      <c r="O21" s="737"/>
      <c r="P21" s="1125"/>
    </row>
    <row r="22" spans="1:16" ht="63.5" customHeight="1" x14ac:dyDescent="0.3">
      <c r="A22" s="731"/>
      <c r="B22" s="733"/>
      <c r="C22" s="1199"/>
      <c r="D22" s="787"/>
      <c r="E22" s="737"/>
      <c r="F22" s="740"/>
      <c r="G22" s="737"/>
      <c r="H22" s="737"/>
      <c r="I22" s="737"/>
      <c r="J22" s="796"/>
      <c r="K22" s="1257"/>
      <c r="L22" s="580"/>
      <c r="M22" s="584"/>
      <c r="N22" s="737"/>
      <c r="O22" s="724"/>
      <c r="P22" s="782"/>
    </row>
    <row r="23" spans="1:16" ht="63.5" customHeight="1" x14ac:dyDescent="0.3">
      <c r="A23" s="731"/>
      <c r="B23" s="733"/>
      <c r="C23" s="1200"/>
      <c r="D23" s="787"/>
      <c r="E23" s="737"/>
      <c r="F23" s="737"/>
      <c r="G23" s="737"/>
      <c r="H23" s="737"/>
      <c r="I23" s="737"/>
      <c r="J23" s="796"/>
      <c r="K23" s="1258"/>
      <c r="L23" s="579"/>
      <c r="M23" s="577"/>
      <c r="N23" s="737"/>
      <c r="O23" s="724"/>
      <c r="P23" s="783"/>
    </row>
    <row r="24" spans="1:16" ht="63.5" customHeight="1" x14ac:dyDescent="0.3">
      <c r="A24" s="731"/>
      <c r="B24" s="733"/>
      <c r="C24" s="1201"/>
      <c r="D24" s="787"/>
      <c r="E24" s="737"/>
      <c r="F24" s="737"/>
      <c r="G24" s="737"/>
      <c r="H24" s="737"/>
      <c r="I24" s="737"/>
      <c r="J24" s="796"/>
      <c r="K24" s="1259"/>
      <c r="L24" s="579"/>
      <c r="M24" s="578"/>
      <c r="N24" s="737"/>
      <c r="O24" s="724"/>
      <c r="P24" s="783"/>
    </row>
    <row r="25" spans="1:16" s="2" customFormat="1" ht="63.5" customHeight="1" x14ac:dyDescent="0.25">
      <c r="A25" s="731"/>
      <c r="B25" s="733"/>
      <c r="C25" s="759"/>
      <c r="D25" s="787"/>
      <c r="E25" s="737"/>
      <c r="F25" s="740"/>
      <c r="G25" s="737"/>
      <c r="H25" s="737"/>
      <c r="I25" s="737"/>
      <c r="J25" s="796"/>
      <c r="K25" s="1106"/>
      <c r="L25" s="580"/>
      <c r="M25" s="576"/>
      <c r="N25" s="737"/>
      <c r="O25" s="724"/>
      <c r="P25" s="782"/>
    </row>
    <row r="26" spans="1:16" s="2" customFormat="1" ht="63.5" customHeight="1" x14ac:dyDescent="0.25">
      <c r="A26" s="731"/>
      <c r="B26" s="733"/>
      <c r="C26" s="760"/>
      <c r="D26" s="787"/>
      <c r="E26" s="737"/>
      <c r="F26" s="737"/>
      <c r="G26" s="737"/>
      <c r="H26" s="737"/>
      <c r="I26" s="737"/>
      <c r="J26" s="796"/>
      <c r="K26" s="791"/>
      <c r="L26" s="579"/>
      <c r="M26" s="577"/>
      <c r="N26" s="737"/>
      <c r="O26" s="724"/>
      <c r="P26" s="783"/>
    </row>
    <row r="27" spans="1:16" s="2" customFormat="1" ht="63.5" customHeight="1" x14ac:dyDescent="0.25">
      <c r="A27" s="734"/>
      <c r="B27" s="736"/>
      <c r="C27" s="761"/>
      <c r="D27" s="787"/>
      <c r="E27" s="737"/>
      <c r="F27" s="737"/>
      <c r="G27" s="737"/>
      <c r="H27" s="737"/>
      <c r="I27" s="737"/>
      <c r="J27" s="796"/>
      <c r="K27" s="792"/>
      <c r="L27" s="579"/>
      <c r="M27" s="578"/>
      <c r="N27" s="737"/>
      <c r="O27" s="724"/>
      <c r="P27" s="783"/>
    </row>
  </sheetData>
  <mergeCells count="75">
    <mergeCell ref="P22:P24"/>
    <mergeCell ref="P25:P27"/>
    <mergeCell ref="P5:P9"/>
    <mergeCell ref="P10:P12"/>
    <mergeCell ref="P13:P15"/>
    <mergeCell ref="P16:P18"/>
    <mergeCell ref="P19:P21"/>
    <mergeCell ref="A2:D2"/>
    <mergeCell ref="A3:O3"/>
    <mergeCell ref="A5:B9"/>
    <mergeCell ref="C5:C9"/>
    <mergeCell ref="D5:D9"/>
    <mergeCell ref="E5:E9"/>
    <mergeCell ref="F5:F9"/>
    <mergeCell ref="G5:I5"/>
    <mergeCell ref="J5:J9"/>
    <mergeCell ref="K5:K9"/>
    <mergeCell ref="L5:M5"/>
    <mergeCell ref="N5:N9"/>
    <mergeCell ref="O5:O9"/>
    <mergeCell ref="O10:O12"/>
    <mergeCell ref="C10:C12"/>
    <mergeCell ref="D10:D12"/>
    <mergeCell ref="E10:E12"/>
    <mergeCell ref="F10:F12"/>
    <mergeCell ref="G10:I12"/>
    <mergeCell ref="J10:J12"/>
    <mergeCell ref="K10:K12"/>
    <mergeCell ref="N10:N12"/>
    <mergeCell ref="K19:K21"/>
    <mergeCell ref="N19:N21"/>
    <mergeCell ref="O19:O21"/>
    <mergeCell ref="C16:C18"/>
    <mergeCell ref="O16:O18"/>
    <mergeCell ref="O13:O15"/>
    <mergeCell ref="C22:C24"/>
    <mergeCell ref="D22:D24"/>
    <mergeCell ref="E22:E24"/>
    <mergeCell ref="F22:F24"/>
    <mergeCell ref="G22:I24"/>
    <mergeCell ref="J22:J24"/>
    <mergeCell ref="K22:K24"/>
    <mergeCell ref="N22:N24"/>
    <mergeCell ref="O22:O24"/>
    <mergeCell ref="C19:C21"/>
    <mergeCell ref="D19:D21"/>
    <mergeCell ref="E19:E21"/>
    <mergeCell ref="F19:F21"/>
    <mergeCell ref="G19:I21"/>
    <mergeCell ref="J19:J21"/>
    <mergeCell ref="G13:I15"/>
    <mergeCell ref="J13:J15"/>
    <mergeCell ref="K13:K15"/>
    <mergeCell ref="N13:N15"/>
    <mergeCell ref="D16:D18"/>
    <mergeCell ref="E16:E18"/>
    <mergeCell ref="F16:F18"/>
    <mergeCell ref="G16:I18"/>
    <mergeCell ref="J16:J18"/>
    <mergeCell ref="K16:K18"/>
    <mergeCell ref="N16:N18"/>
    <mergeCell ref="C13:C15"/>
    <mergeCell ref="D13:D15"/>
    <mergeCell ref="E13:E15"/>
    <mergeCell ref="F13:F15"/>
    <mergeCell ref="A10:B27"/>
    <mergeCell ref="J25:J27"/>
    <mergeCell ref="K25:K27"/>
    <mergeCell ref="N25:N27"/>
    <mergeCell ref="O25:O27"/>
    <mergeCell ref="C25:C27"/>
    <mergeCell ref="D25:D27"/>
    <mergeCell ref="E25:E27"/>
    <mergeCell ref="F25:F27"/>
    <mergeCell ref="G25:I27"/>
  </mergeCells>
  <conditionalFormatting sqref="P10:P12">
    <cfRule type="cellIs" dxfId="7" priority="5" operator="between">
      <formula>0.7</formula>
      <formula>0.94</formula>
    </cfRule>
    <cfRule type="cellIs" dxfId="6" priority="6" operator="greaterThan">
      <formula>94</formula>
    </cfRule>
  </conditionalFormatting>
  <conditionalFormatting sqref="P13:P15">
    <cfRule type="cellIs" dxfId="5" priority="2" operator="between">
      <formula>0.7</formula>
      <formula>0.94</formula>
    </cfRule>
    <cfRule type="cellIs" dxfId="4" priority="3" operator="greaterThan">
      <formula>94</formula>
    </cfRule>
  </conditionalFormatting>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08
Hoja 9. Indicadores Proceso Gestión Financiera y Contable
Página &amp;P de &amp;N</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tabColor rgb="FF009900"/>
  </sheetPr>
  <dimension ref="A1:O112"/>
  <sheetViews>
    <sheetView showGridLines="0" topLeftCell="A49" zoomScale="40" zoomScaleNormal="40" workbookViewId="0">
      <selection activeCell="G68" sqref="G68:K87"/>
    </sheetView>
  </sheetViews>
  <sheetFormatPr baseColWidth="10" defaultColWidth="11.453125" defaultRowHeight="13.5" x14ac:dyDescent="0.25"/>
  <cols>
    <col min="1" max="2" width="24.08984375" style="2" customWidth="1"/>
    <col min="3" max="3" width="20.453125" style="2" customWidth="1"/>
    <col min="4" max="4" width="21.54296875" style="2" customWidth="1"/>
    <col min="5" max="5" width="21.36328125" style="2" customWidth="1"/>
    <col min="6" max="6" width="27" style="2" customWidth="1"/>
    <col min="7" max="7" width="22.453125" style="2" customWidth="1"/>
    <col min="8" max="8" width="37.90625" style="2" customWidth="1"/>
    <col min="9" max="9" width="30.08984375" style="2" customWidth="1"/>
    <col min="10" max="10" width="28.90625" style="2" customWidth="1"/>
    <col min="11" max="11" width="30.08984375" style="2" customWidth="1"/>
    <col min="12" max="12" width="25.36328125" style="2" customWidth="1"/>
    <col min="13" max="13" width="69.90625" style="2" customWidth="1"/>
    <col min="14" max="14" width="24.08984375" style="2" customWidth="1"/>
    <col min="15" max="15" width="27.36328125" style="2" customWidth="1"/>
    <col min="16" max="16" width="43.6328125" style="2" customWidth="1"/>
    <col min="17" max="16384" width="11.453125" style="2"/>
  </cols>
  <sheetData>
    <row r="1" spans="1:15" ht="64.5" customHeight="1" x14ac:dyDescent="0.25">
      <c r="A1" s="744"/>
      <c r="B1" s="744"/>
      <c r="C1" s="744"/>
      <c r="D1" s="744"/>
      <c r="E1" s="9"/>
      <c r="F1" s="9"/>
      <c r="G1" s="9"/>
      <c r="H1" s="9"/>
      <c r="I1" s="9"/>
      <c r="J1" s="9"/>
      <c r="K1" s="9"/>
      <c r="L1" s="9"/>
      <c r="M1" s="9"/>
      <c r="N1" s="9"/>
      <c r="O1" s="9"/>
    </row>
    <row r="2" spans="1:15" ht="27.75" customHeight="1" x14ac:dyDescent="0.25">
      <c r="A2" s="1172" t="s">
        <v>25</v>
      </c>
      <c r="B2" s="1173"/>
      <c r="C2" s="1173"/>
      <c r="D2" s="1173"/>
      <c r="E2" s="1173"/>
      <c r="F2" s="1173"/>
      <c r="G2" s="1173"/>
      <c r="H2" s="1173"/>
      <c r="I2" s="1173"/>
      <c r="J2" s="1173"/>
      <c r="K2" s="1173"/>
      <c r="L2" s="1173"/>
      <c r="M2" s="1173"/>
      <c r="N2" s="1173"/>
      <c r="O2" s="1174"/>
    </row>
    <row r="4" spans="1:15" s="4" customFormat="1" ht="41.25" customHeight="1" x14ac:dyDescent="0.35">
      <c r="A4" s="1175" t="s">
        <v>0</v>
      </c>
      <c r="B4" s="1175"/>
      <c r="C4" s="1175" t="s">
        <v>26</v>
      </c>
      <c r="D4" s="1175" t="s">
        <v>1</v>
      </c>
      <c r="E4" s="1175" t="s">
        <v>2</v>
      </c>
      <c r="F4" s="1175" t="s">
        <v>3</v>
      </c>
      <c r="G4" s="1175" t="s">
        <v>33</v>
      </c>
      <c r="H4" s="1175"/>
      <c r="I4" s="1175"/>
      <c r="J4" s="1176" t="s">
        <v>4</v>
      </c>
      <c r="K4" s="1176" t="s">
        <v>5</v>
      </c>
      <c r="L4" s="1178" t="s">
        <v>49</v>
      </c>
      <c r="M4" s="1179"/>
      <c r="N4" s="1176" t="s">
        <v>6</v>
      </c>
      <c r="O4" s="1176" t="s">
        <v>7</v>
      </c>
    </row>
    <row r="5" spans="1:15" s="4" customFormat="1" ht="36" customHeight="1" x14ac:dyDescent="0.35">
      <c r="A5" s="1175"/>
      <c r="B5" s="1175"/>
      <c r="C5" s="1175"/>
      <c r="D5" s="1175"/>
      <c r="E5" s="1175"/>
      <c r="F5" s="1175"/>
      <c r="G5" s="506" t="s">
        <v>31</v>
      </c>
      <c r="H5" s="506" t="s">
        <v>32</v>
      </c>
      <c r="I5" s="506" t="s">
        <v>43</v>
      </c>
      <c r="J5" s="1177"/>
      <c r="K5" s="1177"/>
      <c r="L5" s="506" t="s">
        <v>47</v>
      </c>
      <c r="M5" s="506" t="s">
        <v>48</v>
      </c>
      <c r="N5" s="1177"/>
      <c r="O5" s="1177"/>
    </row>
    <row r="6" spans="1:15" s="4" customFormat="1" ht="40.5" x14ac:dyDescent="0.35">
      <c r="A6" s="1175"/>
      <c r="B6" s="1175"/>
      <c r="C6" s="1175"/>
      <c r="D6" s="1175"/>
      <c r="E6" s="1175"/>
      <c r="F6" s="1175"/>
      <c r="G6" s="14" t="s">
        <v>35</v>
      </c>
      <c r="H6" s="15" t="s">
        <v>37</v>
      </c>
      <c r="I6" s="14" t="s">
        <v>40</v>
      </c>
      <c r="J6" s="1177"/>
      <c r="K6" s="1177"/>
      <c r="L6" s="11" t="s">
        <v>44</v>
      </c>
      <c r="M6" s="15" t="s">
        <v>52</v>
      </c>
      <c r="N6" s="1177"/>
      <c r="O6" s="1177"/>
    </row>
    <row r="7" spans="1:15" s="4" customFormat="1" ht="40.5" x14ac:dyDescent="0.35">
      <c r="A7" s="1175"/>
      <c r="B7" s="1175"/>
      <c r="C7" s="1175"/>
      <c r="D7" s="1175"/>
      <c r="E7" s="1175"/>
      <c r="F7" s="1175"/>
      <c r="G7" s="14" t="s">
        <v>34</v>
      </c>
      <c r="H7" s="15" t="s">
        <v>38</v>
      </c>
      <c r="I7" s="14" t="s">
        <v>41</v>
      </c>
      <c r="J7" s="1177"/>
      <c r="K7" s="1177"/>
      <c r="L7" s="10" t="s">
        <v>45</v>
      </c>
      <c r="M7" s="15" t="s">
        <v>50</v>
      </c>
      <c r="N7" s="1177"/>
      <c r="O7" s="1177"/>
    </row>
    <row r="8" spans="1:15" s="4" customFormat="1" ht="40.5" x14ac:dyDescent="0.35">
      <c r="A8" s="1175"/>
      <c r="B8" s="1175"/>
      <c r="C8" s="1176"/>
      <c r="D8" s="1176"/>
      <c r="E8" s="1176"/>
      <c r="F8" s="1176"/>
      <c r="G8" s="109" t="s">
        <v>36</v>
      </c>
      <c r="H8" s="96" t="s">
        <v>39</v>
      </c>
      <c r="I8" s="109" t="s">
        <v>42</v>
      </c>
      <c r="J8" s="1177"/>
      <c r="K8" s="1177"/>
      <c r="L8" s="42" t="s">
        <v>46</v>
      </c>
      <c r="M8" s="96" t="s">
        <v>51</v>
      </c>
      <c r="N8" s="1177"/>
      <c r="O8" s="1177"/>
    </row>
    <row r="9" spans="1:15" ht="51" customHeight="1" x14ac:dyDescent="0.25">
      <c r="A9" s="829" t="s">
        <v>451</v>
      </c>
      <c r="B9" s="829"/>
      <c r="C9" s="829" t="s">
        <v>67</v>
      </c>
      <c r="D9" s="1265" t="s">
        <v>452</v>
      </c>
      <c r="E9" s="839" t="s">
        <v>453</v>
      </c>
      <c r="F9" s="839" t="s">
        <v>454</v>
      </c>
      <c r="G9" s="829" t="s">
        <v>34</v>
      </c>
      <c r="H9" s="829"/>
      <c r="I9" s="829"/>
      <c r="J9" s="839" t="s">
        <v>55</v>
      </c>
      <c r="K9" s="1171" t="s">
        <v>455</v>
      </c>
      <c r="L9" s="97" t="s">
        <v>44</v>
      </c>
      <c r="M9" s="132" t="s">
        <v>456</v>
      </c>
      <c r="N9" s="829" t="s">
        <v>228</v>
      </c>
      <c r="O9" s="829" t="s">
        <v>1130</v>
      </c>
    </row>
    <row r="10" spans="1:15" ht="51" customHeight="1" x14ac:dyDescent="0.25">
      <c r="A10" s="829"/>
      <c r="B10" s="829"/>
      <c r="C10" s="829"/>
      <c r="D10" s="1265"/>
      <c r="E10" s="839"/>
      <c r="F10" s="839"/>
      <c r="G10" s="829"/>
      <c r="H10" s="829"/>
      <c r="I10" s="829"/>
      <c r="J10" s="839"/>
      <c r="K10" s="1171"/>
      <c r="L10" s="97" t="s">
        <v>45</v>
      </c>
      <c r="M10" s="133" t="s">
        <v>457</v>
      </c>
      <c r="N10" s="829"/>
      <c r="O10" s="829"/>
    </row>
    <row r="11" spans="1:15" ht="51" customHeight="1" x14ac:dyDescent="0.25">
      <c r="A11" s="829"/>
      <c r="B11" s="829"/>
      <c r="C11" s="829"/>
      <c r="D11" s="1265"/>
      <c r="E11" s="839"/>
      <c r="F11" s="839"/>
      <c r="G11" s="829"/>
      <c r="H11" s="829"/>
      <c r="I11" s="829"/>
      <c r="J11" s="839"/>
      <c r="K11" s="1171"/>
      <c r="L11" s="97" t="s">
        <v>46</v>
      </c>
      <c r="M11" s="134" t="s">
        <v>458</v>
      </c>
      <c r="N11" s="829"/>
      <c r="O11" s="829"/>
    </row>
    <row r="12" spans="1:15" ht="51" customHeight="1" x14ac:dyDescent="0.25">
      <c r="A12" s="829"/>
      <c r="B12" s="829"/>
      <c r="C12" s="829" t="s">
        <v>67</v>
      </c>
      <c r="D12" s="838" t="s">
        <v>459</v>
      </c>
      <c r="E12" s="1171" t="s">
        <v>460</v>
      </c>
      <c r="F12" s="839" t="s">
        <v>461</v>
      </c>
      <c r="G12" s="829" t="s">
        <v>34</v>
      </c>
      <c r="H12" s="829"/>
      <c r="I12" s="829"/>
      <c r="J12" s="839" t="s">
        <v>55</v>
      </c>
      <c r="K12" s="1171" t="s">
        <v>455</v>
      </c>
      <c r="L12" s="97" t="s">
        <v>44</v>
      </c>
      <c r="M12" s="132" t="s">
        <v>456</v>
      </c>
      <c r="N12" s="829" t="s">
        <v>228</v>
      </c>
      <c r="O12" s="829" t="s">
        <v>98</v>
      </c>
    </row>
    <row r="13" spans="1:15" ht="51" customHeight="1" x14ac:dyDescent="0.25">
      <c r="A13" s="829"/>
      <c r="B13" s="829"/>
      <c r="C13" s="829"/>
      <c r="D13" s="838"/>
      <c r="E13" s="1171"/>
      <c r="F13" s="839"/>
      <c r="G13" s="829"/>
      <c r="H13" s="829"/>
      <c r="I13" s="829"/>
      <c r="J13" s="839"/>
      <c r="K13" s="1171"/>
      <c r="L13" s="97" t="s">
        <v>45</v>
      </c>
      <c r="M13" s="133" t="s">
        <v>457</v>
      </c>
      <c r="N13" s="829"/>
      <c r="O13" s="829"/>
    </row>
    <row r="14" spans="1:15" ht="65.25" customHeight="1" x14ac:dyDescent="0.25">
      <c r="A14" s="829"/>
      <c r="B14" s="829"/>
      <c r="C14" s="829"/>
      <c r="D14" s="838"/>
      <c r="E14" s="1171"/>
      <c r="F14" s="839"/>
      <c r="G14" s="829"/>
      <c r="H14" s="829"/>
      <c r="I14" s="829"/>
      <c r="J14" s="839"/>
      <c r="K14" s="1171"/>
      <c r="L14" s="97" t="s">
        <v>46</v>
      </c>
      <c r="M14" s="134" t="s">
        <v>458</v>
      </c>
      <c r="N14" s="829"/>
      <c r="O14" s="829"/>
    </row>
    <row r="15" spans="1:15" ht="81" customHeight="1" x14ac:dyDescent="0.25">
      <c r="A15" s="829"/>
      <c r="B15" s="829"/>
      <c r="C15" s="829" t="s">
        <v>67</v>
      </c>
      <c r="D15" s="851" t="s">
        <v>1039</v>
      </c>
      <c r="E15" s="839" t="s">
        <v>744</v>
      </c>
      <c r="F15" s="852" t="s">
        <v>462</v>
      </c>
      <c r="G15" s="829" t="s">
        <v>34</v>
      </c>
      <c r="H15" s="829"/>
      <c r="I15" s="829"/>
      <c r="J15" s="852" t="s">
        <v>63</v>
      </c>
      <c r="K15" s="852" t="s">
        <v>1040</v>
      </c>
      <c r="L15" s="97" t="s">
        <v>44</v>
      </c>
      <c r="M15" s="422" t="s">
        <v>1041</v>
      </c>
      <c r="N15" s="829" t="s">
        <v>228</v>
      </c>
      <c r="O15" s="829" t="s">
        <v>1129</v>
      </c>
    </row>
    <row r="16" spans="1:15" ht="120" customHeight="1" x14ac:dyDescent="0.25">
      <c r="A16" s="829"/>
      <c r="B16" s="829"/>
      <c r="C16" s="829"/>
      <c r="D16" s="851"/>
      <c r="E16" s="839"/>
      <c r="F16" s="852"/>
      <c r="G16" s="829"/>
      <c r="H16" s="829"/>
      <c r="I16" s="829"/>
      <c r="J16" s="852"/>
      <c r="K16" s="852"/>
      <c r="L16" s="97" t="s">
        <v>46</v>
      </c>
      <c r="M16" s="242" t="s">
        <v>1042</v>
      </c>
      <c r="N16" s="829"/>
      <c r="O16" s="829"/>
    </row>
    <row r="17" spans="1:15" ht="63" customHeight="1" x14ac:dyDescent="0.25">
      <c r="A17" s="829"/>
      <c r="B17" s="829"/>
      <c r="C17" s="829" t="s">
        <v>67</v>
      </c>
      <c r="D17" s="1265" t="s">
        <v>1043</v>
      </c>
      <c r="E17" s="852" t="s">
        <v>1044</v>
      </c>
      <c r="F17" s="852" t="s">
        <v>1045</v>
      </c>
      <c r="G17" s="829" t="s">
        <v>34</v>
      </c>
      <c r="H17" s="829"/>
      <c r="I17" s="829"/>
      <c r="J17" s="852" t="s">
        <v>63</v>
      </c>
      <c r="K17" s="852" t="s">
        <v>1046</v>
      </c>
      <c r="L17" s="97" t="s">
        <v>44</v>
      </c>
      <c r="M17" s="209" t="s">
        <v>1046</v>
      </c>
      <c r="N17" s="829" t="s">
        <v>228</v>
      </c>
      <c r="O17" s="829" t="s">
        <v>1130</v>
      </c>
    </row>
    <row r="18" spans="1:15" ht="63" customHeight="1" x14ac:dyDescent="0.25">
      <c r="A18" s="829"/>
      <c r="B18" s="829"/>
      <c r="C18" s="829"/>
      <c r="D18" s="1265"/>
      <c r="E18" s="852"/>
      <c r="F18" s="852"/>
      <c r="G18" s="829"/>
      <c r="H18" s="829"/>
      <c r="I18" s="829"/>
      <c r="J18" s="852"/>
      <c r="K18" s="852"/>
      <c r="L18" s="97" t="s">
        <v>46</v>
      </c>
      <c r="M18" s="242" t="s">
        <v>1047</v>
      </c>
      <c r="N18" s="829"/>
      <c r="O18" s="829"/>
    </row>
    <row r="19" spans="1:15" ht="63" customHeight="1" x14ac:dyDescent="0.25">
      <c r="A19" s="829"/>
      <c r="B19" s="829"/>
      <c r="C19" s="829" t="s">
        <v>67</v>
      </c>
      <c r="D19" s="851" t="s">
        <v>741</v>
      </c>
      <c r="E19" s="852" t="s">
        <v>1048</v>
      </c>
      <c r="F19" s="852" t="s">
        <v>1049</v>
      </c>
      <c r="G19" s="829" t="s">
        <v>34</v>
      </c>
      <c r="H19" s="829"/>
      <c r="I19" s="829"/>
      <c r="J19" s="852" t="s">
        <v>63</v>
      </c>
      <c r="K19" s="852" t="s">
        <v>740</v>
      </c>
      <c r="L19" s="97" t="s">
        <v>44</v>
      </c>
      <c r="M19" s="209" t="s">
        <v>1050</v>
      </c>
      <c r="N19" s="829" t="s">
        <v>228</v>
      </c>
      <c r="O19" s="829" t="s">
        <v>1130</v>
      </c>
    </row>
    <row r="20" spans="1:15" ht="92.25" customHeight="1" x14ac:dyDescent="0.25">
      <c r="A20" s="829"/>
      <c r="B20" s="829"/>
      <c r="C20" s="829"/>
      <c r="D20" s="851"/>
      <c r="E20" s="852"/>
      <c r="F20" s="852"/>
      <c r="G20" s="829"/>
      <c r="H20" s="829"/>
      <c r="I20" s="829"/>
      <c r="J20" s="852"/>
      <c r="K20" s="852"/>
      <c r="L20" s="97" t="s">
        <v>46</v>
      </c>
      <c r="M20" s="242" t="s">
        <v>754</v>
      </c>
      <c r="N20" s="829"/>
      <c r="O20" s="829"/>
    </row>
    <row r="21" spans="1:15" ht="63" customHeight="1" x14ac:dyDescent="0.25">
      <c r="A21" s="829"/>
      <c r="B21" s="829"/>
      <c r="C21" s="829" t="s">
        <v>67</v>
      </c>
      <c r="D21" s="851" t="s">
        <v>1051</v>
      </c>
      <c r="E21" s="1171" t="s">
        <v>1052</v>
      </c>
      <c r="F21" s="839" t="s">
        <v>1053</v>
      </c>
      <c r="G21" s="829" t="s">
        <v>34</v>
      </c>
      <c r="H21" s="829"/>
      <c r="I21" s="829"/>
      <c r="J21" s="839" t="s">
        <v>484</v>
      </c>
      <c r="K21" s="1171" t="s">
        <v>1054</v>
      </c>
      <c r="L21" s="97" t="s">
        <v>44</v>
      </c>
      <c r="M21" s="423" t="s">
        <v>1055</v>
      </c>
      <c r="N21" s="829" t="s">
        <v>228</v>
      </c>
      <c r="O21" s="829" t="s">
        <v>1130</v>
      </c>
    </row>
    <row r="22" spans="1:15" ht="63" customHeight="1" x14ac:dyDescent="0.25">
      <c r="A22" s="829"/>
      <c r="B22" s="829"/>
      <c r="C22" s="829"/>
      <c r="D22" s="851"/>
      <c r="E22" s="1171"/>
      <c r="F22" s="839"/>
      <c r="G22" s="829"/>
      <c r="H22" s="829"/>
      <c r="I22" s="829"/>
      <c r="J22" s="839"/>
      <c r="K22" s="1171"/>
      <c r="L22" s="97" t="s">
        <v>45</v>
      </c>
      <c r="M22" s="424" t="s">
        <v>1056</v>
      </c>
      <c r="N22" s="829"/>
      <c r="O22" s="829"/>
    </row>
    <row r="23" spans="1:15" ht="63" customHeight="1" x14ac:dyDescent="0.25">
      <c r="A23" s="829"/>
      <c r="B23" s="829"/>
      <c r="C23" s="829"/>
      <c r="D23" s="851"/>
      <c r="E23" s="1171"/>
      <c r="F23" s="839"/>
      <c r="G23" s="829"/>
      <c r="H23" s="829"/>
      <c r="I23" s="829"/>
      <c r="J23" s="839"/>
      <c r="K23" s="1171"/>
      <c r="L23" s="97" t="s">
        <v>46</v>
      </c>
      <c r="M23" s="425" t="s">
        <v>1057</v>
      </c>
      <c r="N23" s="829"/>
      <c r="O23" s="829"/>
    </row>
    <row r="24" spans="1:15" ht="63" customHeight="1" x14ac:dyDescent="0.25">
      <c r="A24" s="829"/>
      <c r="B24" s="829"/>
      <c r="C24" s="829" t="s">
        <v>67</v>
      </c>
      <c r="D24" s="1265" t="s">
        <v>1058</v>
      </c>
      <c r="E24" s="1171" t="s">
        <v>1059</v>
      </c>
      <c r="F24" s="839" t="s">
        <v>1060</v>
      </c>
      <c r="G24" s="829" t="s">
        <v>34</v>
      </c>
      <c r="H24" s="829"/>
      <c r="I24" s="829"/>
      <c r="J24" s="839" t="s">
        <v>484</v>
      </c>
      <c r="K24" s="1171" t="s">
        <v>455</v>
      </c>
      <c r="L24" s="97" t="s">
        <v>44</v>
      </c>
      <c r="M24" s="423" t="s">
        <v>1061</v>
      </c>
      <c r="N24" s="829" t="s">
        <v>228</v>
      </c>
      <c r="O24" s="829" t="s">
        <v>1130</v>
      </c>
    </row>
    <row r="25" spans="1:15" ht="63" customHeight="1" x14ac:dyDescent="0.25">
      <c r="A25" s="829"/>
      <c r="B25" s="829"/>
      <c r="C25" s="829"/>
      <c r="D25" s="1265"/>
      <c r="E25" s="1171"/>
      <c r="F25" s="839"/>
      <c r="G25" s="829"/>
      <c r="H25" s="829"/>
      <c r="I25" s="829"/>
      <c r="J25" s="839"/>
      <c r="K25" s="1171"/>
      <c r="L25" s="97" t="s">
        <v>45</v>
      </c>
      <c r="M25" s="424" t="s">
        <v>1062</v>
      </c>
      <c r="N25" s="829"/>
      <c r="O25" s="829"/>
    </row>
    <row r="26" spans="1:15" ht="63" customHeight="1" x14ac:dyDescent="0.25">
      <c r="A26" s="829"/>
      <c r="B26" s="829"/>
      <c r="C26" s="829"/>
      <c r="D26" s="1265"/>
      <c r="E26" s="1171"/>
      <c r="F26" s="839"/>
      <c r="G26" s="829"/>
      <c r="H26" s="829"/>
      <c r="I26" s="829"/>
      <c r="J26" s="839"/>
      <c r="K26" s="1171"/>
      <c r="L26" s="97" t="s">
        <v>46</v>
      </c>
      <c r="M26" s="425" t="s">
        <v>1063</v>
      </c>
      <c r="N26" s="829"/>
      <c r="O26" s="829"/>
    </row>
    <row r="27" spans="1:15" ht="63" customHeight="1" x14ac:dyDescent="0.25">
      <c r="A27" s="504"/>
      <c r="B27" s="504"/>
      <c r="C27" s="829" t="s">
        <v>67</v>
      </c>
      <c r="D27" s="851" t="s">
        <v>1131</v>
      </c>
      <c r="E27" s="1171" t="s">
        <v>1132</v>
      </c>
      <c r="F27" s="839" t="s">
        <v>1133</v>
      </c>
      <c r="G27" s="829" t="s">
        <v>34</v>
      </c>
      <c r="H27" s="829"/>
      <c r="I27" s="829"/>
      <c r="J27" s="839" t="s">
        <v>63</v>
      </c>
      <c r="K27" s="1171" t="s">
        <v>1134</v>
      </c>
      <c r="L27" s="97" t="s">
        <v>44</v>
      </c>
      <c r="M27" s="423" t="s">
        <v>1135</v>
      </c>
      <c r="N27" s="829" t="s">
        <v>1138</v>
      </c>
      <c r="O27" s="829" t="s">
        <v>1130</v>
      </c>
    </row>
    <row r="28" spans="1:15" ht="63" customHeight="1" x14ac:dyDescent="0.25">
      <c r="A28" s="504"/>
      <c r="B28" s="504"/>
      <c r="C28" s="829"/>
      <c r="D28" s="851"/>
      <c r="E28" s="1171"/>
      <c r="F28" s="839"/>
      <c r="G28" s="829"/>
      <c r="H28" s="829"/>
      <c r="I28" s="829"/>
      <c r="J28" s="839"/>
      <c r="K28" s="1171"/>
      <c r="L28" s="97" t="s">
        <v>45</v>
      </c>
      <c r="M28" s="424" t="s">
        <v>1136</v>
      </c>
      <c r="N28" s="829"/>
      <c r="O28" s="829"/>
    </row>
    <row r="29" spans="1:15" ht="63" customHeight="1" x14ac:dyDescent="0.25">
      <c r="A29" s="504"/>
      <c r="B29" s="504"/>
      <c r="C29" s="829"/>
      <c r="D29" s="851"/>
      <c r="E29" s="1171"/>
      <c r="F29" s="839"/>
      <c r="G29" s="829"/>
      <c r="H29" s="829"/>
      <c r="I29" s="829"/>
      <c r="J29" s="839"/>
      <c r="K29" s="1171"/>
      <c r="L29" s="97" t="s">
        <v>46</v>
      </c>
      <c r="M29" s="425" t="s">
        <v>1137</v>
      </c>
      <c r="N29" s="829"/>
      <c r="O29" s="829"/>
    </row>
    <row r="30" spans="1:15" ht="63" customHeight="1" x14ac:dyDescent="0.25">
      <c r="A30" s="504"/>
      <c r="B30" s="504"/>
      <c r="C30" s="829" t="s">
        <v>67</v>
      </c>
      <c r="D30" s="851" t="s">
        <v>1139</v>
      </c>
      <c r="E30" s="1171" t="s">
        <v>1140</v>
      </c>
      <c r="F30" s="839" t="s">
        <v>1141</v>
      </c>
      <c r="G30" s="829" t="s">
        <v>34</v>
      </c>
      <c r="H30" s="829"/>
      <c r="I30" s="829"/>
      <c r="J30" s="839" t="s">
        <v>63</v>
      </c>
      <c r="K30" s="1171" t="s">
        <v>1142</v>
      </c>
      <c r="L30" s="97" t="s">
        <v>44</v>
      </c>
      <c r="M30" s="444" t="s">
        <v>1142</v>
      </c>
      <c r="N30" s="829" t="s">
        <v>1138</v>
      </c>
      <c r="O30" s="829" t="s">
        <v>1130</v>
      </c>
    </row>
    <row r="31" spans="1:15" ht="63" customHeight="1" x14ac:dyDescent="0.25">
      <c r="A31" s="504"/>
      <c r="B31" s="504"/>
      <c r="C31" s="829"/>
      <c r="D31" s="851"/>
      <c r="E31" s="1171"/>
      <c r="F31" s="839"/>
      <c r="G31" s="829"/>
      <c r="H31" s="829"/>
      <c r="I31" s="829"/>
      <c r="J31" s="839"/>
      <c r="K31" s="1171"/>
      <c r="L31" s="97" t="s">
        <v>45</v>
      </c>
      <c r="M31" s="445" t="s">
        <v>1143</v>
      </c>
      <c r="N31" s="829"/>
      <c r="O31" s="829"/>
    </row>
    <row r="32" spans="1:15" x14ac:dyDescent="0.25">
      <c r="A32" s="3"/>
      <c r="B32" s="3"/>
    </row>
    <row r="33" spans="1:15" ht="32.25" customHeight="1" x14ac:dyDescent="0.25">
      <c r="A33" s="1154" t="str">
        <f>+D9</f>
        <v>PORCENTAJE (%) DE INCREMENTO DE CARTERA RECUPERADA ENTRE VIGENCIAS.</v>
      </c>
      <c r="B33" s="1155"/>
      <c r="C33" s="1155"/>
      <c r="D33" s="1155"/>
      <c r="E33" s="1155"/>
      <c r="F33" s="1155"/>
      <c r="G33" s="1155"/>
      <c r="H33" s="1155"/>
      <c r="I33" s="1155"/>
      <c r="J33" s="1155"/>
      <c r="K33" s="1155"/>
      <c r="L33" s="1155"/>
      <c r="M33" s="1155"/>
      <c r="N33" s="1155"/>
      <c r="O33" s="1156"/>
    </row>
    <row r="34" spans="1:15" x14ac:dyDescent="0.25">
      <c r="A34" s="5"/>
    </row>
    <row r="35" spans="1:15" ht="23" x14ac:dyDescent="0.45">
      <c r="A35" s="26"/>
      <c r="G35" s="31">
        <v>2010</v>
      </c>
      <c r="H35" s="31">
        <v>2011</v>
      </c>
      <c r="I35" s="31">
        <v>2012</v>
      </c>
      <c r="J35" s="31">
        <v>2013</v>
      </c>
      <c r="K35" s="31">
        <v>2014</v>
      </c>
      <c r="L35" s="31">
        <v>2015</v>
      </c>
      <c r="M35" s="31">
        <v>2016</v>
      </c>
      <c r="N35" s="31">
        <v>2017</v>
      </c>
    </row>
    <row r="36" spans="1:15" ht="22.5" customHeight="1" x14ac:dyDescent="0.45">
      <c r="A36" s="856" t="s">
        <v>466</v>
      </c>
      <c r="B36" s="857"/>
      <c r="C36" s="857"/>
      <c r="D36" s="857"/>
      <c r="E36" s="857"/>
      <c r="F36" s="857"/>
      <c r="G36" s="32">
        <v>0.33</v>
      </c>
      <c r="H36" s="32">
        <v>0.05</v>
      </c>
      <c r="I36" s="32">
        <v>-0.47</v>
      </c>
      <c r="J36" s="32">
        <v>0.12</v>
      </c>
      <c r="K36" s="191">
        <f>+K49</f>
        <v>0.18179586314500834</v>
      </c>
      <c r="L36" s="191">
        <f>+K54</f>
        <v>0.11138012438066704</v>
      </c>
      <c r="M36" s="191">
        <f>+K59</f>
        <v>0.14206952742616033</v>
      </c>
      <c r="N36" s="191">
        <f>+K60</f>
        <v>1.4891779825638354</v>
      </c>
    </row>
    <row r="37" spans="1:15" ht="23" x14ac:dyDescent="0.45">
      <c r="A37" s="856" t="s">
        <v>76</v>
      </c>
      <c r="B37" s="857"/>
      <c r="C37" s="857"/>
      <c r="D37" s="857"/>
      <c r="E37" s="857"/>
      <c r="F37" s="857"/>
      <c r="G37" s="32">
        <v>0.1</v>
      </c>
      <c r="H37" s="32">
        <v>0.1</v>
      </c>
      <c r="I37" s="32">
        <v>0.1</v>
      </c>
      <c r="J37" s="32">
        <v>0.1</v>
      </c>
      <c r="K37" s="32">
        <v>0.1</v>
      </c>
      <c r="L37" s="32">
        <v>0.1</v>
      </c>
      <c r="M37" s="32">
        <v>0.1</v>
      </c>
      <c r="N37" s="32">
        <v>0.1</v>
      </c>
    </row>
    <row r="38" spans="1:15" x14ac:dyDescent="0.25">
      <c r="A38" s="5"/>
    </row>
    <row r="39" spans="1:15" ht="17.5" x14ac:dyDescent="0.25">
      <c r="A39" s="5"/>
      <c r="B39" s="28"/>
      <c r="C39" s="28"/>
      <c r="D39" s="28"/>
      <c r="G39" s="1165" t="s">
        <v>77</v>
      </c>
      <c r="H39" s="1165"/>
      <c r="I39" s="1165" t="s">
        <v>78</v>
      </c>
      <c r="J39" s="1165"/>
      <c r="K39" s="1165"/>
      <c r="L39" s="1165" t="s">
        <v>79</v>
      </c>
      <c r="M39" s="1165"/>
      <c r="N39" s="1165"/>
      <c r="O39" s="1165"/>
    </row>
    <row r="40" spans="1:15" ht="70" x14ac:dyDescent="0.25">
      <c r="A40" s="5"/>
      <c r="G40" s="1165"/>
      <c r="H40" s="1165"/>
      <c r="I40" s="135" t="s">
        <v>467</v>
      </c>
      <c r="J40" s="135" t="s">
        <v>468</v>
      </c>
      <c r="K40" s="135" t="s">
        <v>469</v>
      </c>
      <c r="L40" s="1165"/>
      <c r="M40" s="1165"/>
      <c r="N40" s="1165"/>
      <c r="O40" s="1165"/>
    </row>
    <row r="41" spans="1:15" ht="137.25" hidden="1" customHeight="1" x14ac:dyDescent="0.35">
      <c r="B41" s="29"/>
      <c r="C41" s="30"/>
      <c r="D41" s="30"/>
      <c r="G41" s="1266">
        <v>2010</v>
      </c>
      <c r="H41" s="1266"/>
      <c r="I41" s="136">
        <f>1632293222-1226787955</f>
        <v>405505267</v>
      </c>
      <c r="J41" s="136">
        <v>1226787955</v>
      </c>
      <c r="K41" s="44">
        <f t="shared" ref="K41:K54" si="0">+I41/J41</f>
        <v>0.33054226310854185</v>
      </c>
      <c r="L41" s="1267" t="s">
        <v>470</v>
      </c>
      <c r="M41" s="1037"/>
      <c r="N41" s="1037"/>
      <c r="O41" s="1037"/>
    </row>
    <row r="42" spans="1:15" ht="69.75" hidden="1" customHeight="1" x14ac:dyDescent="0.35">
      <c r="B42" s="29"/>
      <c r="C42" s="30"/>
      <c r="D42" s="30"/>
      <c r="G42" s="1266">
        <v>2011</v>
      </c>
      <c r="H42" s="1266"/>
      <c r="I42" s="136">
        <f>1720148461-1632293222</f>
        <v>87855239</v>
      </c>
      <c r="J42" s="136">
        <v>1632293222</v>
      </c>
      <c r="K42" s="44">
        <f t="shared" si="0"/>
        <v>5.3823196602111482E-2</v>
      </c>
      <c r="L42" s="1268" t="s">
        <v>471</v>
      </c>
      <c r="M42" s="1037"/>
      <c r="N42" s="1037"/>
      <c r="O42" s="1037"/>
    </row>
    <row r="43" spans="1:15" ht="108" hidden="1" customHeight="1" x14ac:dyDescent="0.35">
      <c r="B43" s="29"/>
      <c r="C43" s="30"/>
      <c r="D43" s="30"/>
      <c r="G43" s="1266">
        <v>2012</v>
      </c>
      <c r="H43" s="1266"/>
      <c r="I43" s="136">
        <f>917884056-1720148461</f>
        <v>-802264405</v>
      </c>
      <c r="J43" s="136">
        <v>1720148461</v>
      </c>
      <c r="K43" s="44">
        <f t="shared" si="0"/>
        <v>-0.46639253714973383</v>
      </c>
      <c r="L43" s="1267" t="s">
        <v>472</v>
      </c>
      <c r="M43" s="1037"/>
      <c r="N43" s="1037"/>
      <c r="O43" s="1037"/>
    </row>
    <row r="44" spans="1:15" ht="57.75" hidden="1" customHeight="1" x14ac:dyDescent="0.35">
      <c r="B44" s="29"/>
      <c r="C44" s="30"/>
      <c r="D44" s="30"/>
      <c r="G44" s="1266">
        <v>2013</v>
      </c>
      <c r="H44" s="1266"/>
      <c r="I44" s="136">
        <v>114524840</v>
      </c>
      <c r="J44" s="136">
        <v>917884056</v>
      </c>
      <c r="K44" s="44">
        <f t="shared" si="0"/>
        <v>0.12477048626280965</v>
      </c>
      <c r="L44" s="1267" t="s">
        <v>473</v>
      </c>
      <c r="M44" s="1037"/>
      <c r="N44" s="1037"/>
      <c r="O44" s="1037"/>
    </row>
    <row r="45" spans="1:15" ht="26.25" hidden="1" customHeight="1" x14ac:dyDescent="0.3">
      <c r="B45" s="29"/>
      <c r="C45" s="30"/>
      <c r="D45" s="30"/>
      <c r="G45" s="1278">
        <v>2014</v>
      </c>
      <c r="H45" s="1279"/>
      <c r="I45" s="136">
        <f>386809492-325735861</f>
        <v>61073631</v>
      </c>
      <c r="J45" s="136">
        <v>325735861</v>
      </c>
      <c r="K45" s="44">
        <f t="shared" si="0"/>
        <v>0.18749434223332259</v>
      </c>
      <c r="L45" s="1284" t="s">
        <v>660</v>
      </c>
      <c r="M45" s="1284"/>
      <c r="N45" s="1284"/>
      <c r="O45" s="1284"/>
    </row>
    <row r="46" spans="1:15" ht="26.25" hidden="1" customHeight="1" x14ac:dyDescent="0.3">
      <c r="B46" s="29"/>
      <c r="C46" s="30"/>
      <c r="D46" s="30"/>
      <c r="G46" s="1280"/>
      <c r="H46" s="1281"/>
      <c r="I46" s="136">
        <f>222605929-J46</f>
        <v>2148971</v>
      </c>
      <c r="J46" s="136">
        <f>546192819-J45</f>
        <v>220456958</v>
      </c>
      <c r="K46" s="44">
        <f t="shared" si="0"/>
        <v>9.7478030155891023E-3</v>
      </c>
      <c r="L46" s="1284"/>
      <c r="M46" s="1284"/>
      <c r="N46" s="1284"/>
      <c r="O46" s="1284"/>
    </row>
    <row r="47" spans="1:15" ht="26.25" hidden="1" customHeight="1" x14ac:dyDescent="0.3">
      <c r="B47" s="29"/>
      <c r="C47" s="30"/>
      <c r="D47" s="30"/>
      <c r="G47" s="1280"/>
      <c r="H47" s="1281"/>
      <c r="I47" s="136">
        <f>311154141-J47</f>
        <v>166485666</v>
      </c>
      <c r="J47" s="136">
        <f>690861294-546192819</f>
        <v>144668475</v>
      </c>
      <c r="K47" s="44">
        <f t="shared" si="0"/>
        <v>1.1508081909344796</v>
      </c>
      <c r="L47" s="1284"/>
      <c r="M47" s="1284"/>
      <c r="N47" s="1284"/>
      <c r="O47" s="1284"/>
    </row>
    <row r="48" spans="1:15" ht="26.25" hidden="1" customHeight="1" x14ac:dyDescent="0.3">
      <c r="B48" s="29"/>
      <c r="C48" s="30"/>
      <c r="D48" s="30"/>
      <c r="G48" s="1280"/>
      <c r="H48" s="1281"/>
      <c r="I48" s="136">
        <f>299517546-J48</f>
        <v>-42022056</v>
      </c>
      <c r="J48" s="136">
        <v>341539602</v>
      </c>
      <c r="K48" s="44">
        <f t="shared" si="0"/>
        <v>-0.1230371405070619</v>
      </c>
      <c r="L48" s="1284"/>
      <c r="M48" s="1284"/>
      <c r="N48" s="1284"/>
      <c r="O48" s="1284"/>
    </row>
    <row r="49" spans="1:15" ht="120.75" customHeight="1" x14ac:dyDescent="0.3">
      <c r="B49" s="29"/>
      <c r="C49" s="30"/>
      <c r="D49" s="30"/>
      <c r="G49" s="1282"/>
      <c r="H49" s="1283"/>
      <c r="I49" s="136">
        <f>SUM(I45:I48)</f>
        <v>187686212</v>
      </c>
      <c r="J49" s="136">
        <f>SUM(J45:J48)</f>
        <v>1032400896</v>
      </c>
      <c r="K49" s="44">
        <f t="shared" si="0"/>
        <v>0.18179586314500834</v>
      </c>
      <c r="L49" s="1284"/>
      <c r="M49" s="1284"/>
      <c r="N49" s="1284"/>
      <c r="O49" s="1284"/>
    </row>
    <row r="50" spans="1:15" ht="26.25" customHeight="1" x14ac:dyDescent="0.3">
      <c r="B50" s="29"/>
      <c r="C50" s="30"/>
      <c r="D50" s="30"/>
      <c r="G50" s="1266">
        <v>2015</v>
      </c>
      <c r="H50" s="45" t="s">
        <v>212</v>
      </c>
      <c r="I50" s="136">
        <f>275869580-J50</f>
        <v>-110939912</v>
      </c>
      <c r="J50" s="136">
        <v>386809492</v>
      </c>
      <c r="K50" s="44">
        <f t="shared" si="0"/>
        <v>-0.2868076257032493</v>
      </c>
      <c r="L50" s="1284" t="s">
        <v>1064</v>
      </c>
      <c r="M50" s="1284"/>
      <c r="N50" s="1284"/>
      <c r="O50" s="1284"/>
    </row>
    <row r="51" spans="1:15" ht="26.25" customHeight="1" x14ac:dyDescent="0.3">
      <c r="B51" s="29"/>
      <c r="C51" s="30"/>
      <c r="D51" s="30"/>
      <c r="G51" s="1266"/>
      <c r="H51" s="45" t="s">
        <v>213</v>
      </c>
      <c r="I51" s="136">
        <f>237031094-J51</f>
        <v>14425165</v>
      </c>
      <c r="J51" s="136">
        <v>222605929</v>
      </c>
      <c r="K51" s="44">
        <f t="shared" si="0"/>
        <v>6.4801351270387775E-2</v>
      </c>
      <c r="L51" s="1284"/>
      <c r="M51" s="1284"/>
      <c r="N51" s="1284"/>
      <c r="O51" s="1284"/>
    </row>
    <row r="52" spans="1:15" ht="26.25" customHeight="1" x14ac:dyDescent="0.3">
      <c r="B52" s="29"/>
      <c r="C52" s="30"/>
      <c r="D52" s="30"/>
      <c r="G52" s="1266"/>
      <c r="H52" s="45" t="s">
        <v>214</v>
      </c>
      <c r="I52" s="136">
        <f>311154140-J52</f>
        <v>50094201</v>
      </c>
      <c r="J52" s="136">
        <v>261059939</v>
      </c>
      <c r="K52" s="44">
        <f t="shared" si="0"/>
        <v>0.19188773732150455</v>
      </c>
      <c r="L52" s="1284"/>
      <c r="M52" s="1284"/>
      <c r="N52" s="1284"/>
      <c r="O52" s="1284"/>
    </row>
    <row r="53" spans="1:15" ht="26.25" customHeight="1" x14ac:dyDescent="0.3">
      <c r="B53" s="29"/>
      <c r="C53" s="30"/>
      <c r="D53" s="30"/>
      <c r="G53" s="1266"/>
      <c r="H53" s="45" t="s">
        <v>215</v>
      </c>
      <c r="I53" s="136">
        <f>333323700-J53</f>
        <v>162410530</v>
      </c>
      <c r="J53" s="136">
        <v>170913170</v>
      </c>
      <c r="K53" s="44">
        <f t="shared" si="0"/>
        <v>0.95025169798208065</v>
      </c>
      <c r="L53" s="1284"/>
      <c r="M53" s="1284"/>
      <c r="N53" s="1284"/>
      <c r="O53" s="1284"/>
    </row>
    <row r="54" spans="1:15" ht="24" customHeight="1" x14ac:dyDescent="0.3">
      <c r="B54" s="29"/>
      <c r="C54" s="30"/>
      <c r="D54" s="30"/>
      <c r="G54" s="1266"/>
      <c r="H54" s="45" t="s">
        <v>81</v>
      </c>
      <c r="I54" s="136">
        <f>SUM(I50:I53)</f>
        <v>115989984</v>
      </c>
      <c r="J54" s="136">
        <f>SUM(J50:J53)</f>
        <v>1041388530</v>
      </c>
      <c r="K54" s="44">
        <f t="shared" si="0"/>
        <v>0.11138012438066704</v>
      </c>
      <c r="L54" s="1284"/>
      <c r="M54" s="1284"/>
      <c r="N54" s="1284"/>
      <c r="O54" s="1284"/>
    </row>
    <row r="55" spans="1:15" ht="18" customHeight="1" x14ac:dyDescent="0.3">
      <c r="B55" s="29"/>
      <c r="C55" s="30"/>
      <c r="D55" s="30"/>
      <c r="G55" s="1266">
        <v>2016</v>
      </c>
      <c r="H55" s="45" t="s">
        <v>212</v>
      </c>
      <c r="I55" s="136">
        <v>2370000000</v>
      </c>
      <c r="J55" s="426">
        <v>12327058</v>
      </c>
      <c r="K55" s="427">
        <f>J55/I55</f>
        <v>5.2012902953586498E-3</v>
      </c>
      <c r="L55" s="1269" t="s">
        <v>1065</v>
      </c>
      <c r="M55" s="1270"/>
      <c r="N55" s="1270"/>
      <c r="O55" s="1271"/>
    </row>
    <row r="56" spans="1:15" ht="17.5" x14ac:dyDescent="0.3">
      <c r="B56" s="29"/>
      <c r="C56" s="30"/>
      <c r="D56" s="30"/>
      <c r="G56" s="1266"/>
      <c r="H56" s="45" t="s">
        <v>213</v>
      </c>
      <c r="I56" s="136">
        <v>2370000000</v>
      </c>
      <c r="J56" s="136">
        <v>210292549</v>
      </c>
      <c r="K56" s="427">
        <f>J56/I56+K55</f>
        <v>9.3932323628691985E-2</v>
      </c>
      <c r="L56" s="1272"/>
      <c r="M56" s="1273"/>
      <c r="N56" s="1273"/>
      <c r="O56" s="1274"/>
    </row>
    <row r="57" spans="1:15" ht="17.5" x14ac:dyDescent="0.3">
      <c r="B57" s="29"/>
      <c r="C57" s="30"/>
      <c r="D57" s="30"/>
      <c r="G57" s="1266"/>
      <c r="H57" s="45" t="s">
        <v>214</v>
      </c>
      <c r="I57" s="136">
        <v>2370000000</v>
      </c>
      <c r="J57" s="136">
        <v>54719836</v>
      </c>
      <c r="K57" s="427">
        <f>J57/I57+K56</f>
        <v>0.11702086202531646</v>
      </c>
      <c r="L57" s="1272"/>
      <c r="M57" s="1273"/>
      <c r="N57" s="1273"/>
      <c r="O57" s="1274"/>
    </row>
    <row r="58" spans="1:15" ht="17.5" x14ac:dyDescent="0.3">
      <c r="B58" s="29"/>
      <c r="C58" s="30"/>
      <c r="D58" s="30"/>
      <c r="G58" s="1266"/>
      <c r="H58" s="45" t="s">
        <v>215</v>
      </c>
      <c r="I58" s="136">
        <v>2370000000</v>
      </c>
      <c r="J58" s="136"/>
      <c r="K58" s="44">
        <f>J58/I58+K57</f>
        <v>0.11702086202531646</v>
      </c>
      <c r="L58" s="1272"/>
      <c r="M58" s="1273"/>
      <c r="N58" s="1273"/>
      <c r="O58" s="1274"/>
    </row>
    <row r="59" spans="1:15" ht="17.5" x14ac:dyDescent="0.3">
      <c r="B59" s="29"/>
      <c r="C59" s="30"/>
      <c r="D59" s="30"/>
      <c r="G59" s="1266"/>
      <c r="H59" s="45" t="s">
        <v>81</v>
      </c>
      <c r="I59" s="136">
        <v>2370000000</v>
      </c>
      <c r="J59" s="249">
        <f>+I60</f>
        <v>336704780</v>
      </c>
      <c r="K59" s="250">
        <f>J59/I59</f>
        <v>0.14206952742616033</v>
      </c>
      <c r="L59" s="1275"/>
      <c r="M59" s="1276"/>
      <c r="N59" s="1276"/>
      <c r="O59" s="1277"/>
    </row>
    <row r="60" spans="1:15" ht="17.5" x14ac:dyDescent="0.3">
      <c r="B60" s="29"/>
      <c r="C60" s="30"/>
      <c r="D60" s="30"/>
      <c r="G60" s="351">
        <v>2017</v>
      </c>
      <c r="H60" s="45" t="s">
        <v>81</v>
      </c>
      <c r="I60" s="136">
        <v>336704780</v>
      </c>
      <c r="J60" s="136">
        <v>838118125</v>
      </c>
      <c r="K60" s="427">
        <f>J60/I60-1</f>
        <v>1.4891779825638354</v>
      </c>
    </row>
    <row r="62" spans="1:15" ht="30.75" customHeight="1" x14ac:dyDescent="0.25">
      <c r="A62" s="1154" t="str">
        <f>+D12</f>
        <v xml:space="preserve">PORCENTAJE (%) DE INCREMENTO DE INGRESOS POR SOBRETASA AMBIENTAL  ENTRE VIGENCIAS. </v>
      </c>
      <c r="B62" s="1155"/>
      <c r="C62" s="1155"/>
      <c r="D62" s="1155"/>
      <c r="E62" s="1155"/>
      <c r="F62" s="1155"/>
      <c r="G62" s="1155"/>
      <c r="H62" s="1155"/>
      <c r="I62" s="1155"/>
      <c r="J62" s="1155"/>
      <c r="K62" s="1155"/>
      <c r="L62" s="1155"/>
      <c r="M62" s="1155"/>
      <c r="N62" s="1155"/>
      <c r="O62" s="1156"/>
    </row>
    <row r="63" spans="1:15" x14ac:dyDescent="0.25">
      <c r="A63" s="5"/>
    </row>
    <row r="64" spans="1:15" ht="23" x14ac:dyDescent="0.25">
      <c r="A64" s="26"/>
      <c r="G64" s="39">
        <v>2012</v>
      </c>
      <c r="H64" s="39">
        <v>2013</v>
      </c>
      <c r="I64" s="39">
        <v>2014</v>
      </c>
      <c r="J64" s="39">
        <v>2015</v>
      </c>
      <c r="K64" s="39">
        <v>2016</v>
      </c>
      <c r="L64" s="39">
        <v>2017</v>
      </c>
    </row>
    <row r="65" spans="1:15" ht="23" x14ac:dyDescent="0.25">
      <c r="A65" s="856" t="s">
        <v>474</v>
      </c>
      <c r="B65" s="857"/>
      <c r="C65" s="857"/>
      <c r="D65" s="857"/>
      <c r="E65" s="857"/>
      <c r="F65" s="857"/>
      <c r="G65" s="27">
        <v>0.42</v>
      </c>
      <c r="H65" s="27">
        <v>-0.02</v>
      </c>
      <c r="I65" s="27">
        <f>+K76</f>
        <v>0.30283658480772591</v>
      </c>
      <c r="J65" s="149">
        <f>+K81</f>
        <v>-0.16498104671568431</v>
      </c>
      <c r="K65" s="149">
        <f>+K86</f>
        <v>8.2045728227859063E-2</v>
      </c>
      <c r="L65" s="149">
        <f>+K87</f>
        <v>8.6284226535601499E-2</v>
      </c>
    </row>
    <row r="66" spans="1:15" ht="23" x14ac:dyDescent="0.25">
      <c r="A66" s="856" t="s">
        <v>76</v>
      </c>
      <c r="B66" s="857"/>
      <c r="C66" s="857"/>
      <c r="D66" s="857"/>
      <c r="E66" s="857"/>
      <c r="F66" s="857"/>
      <c r="G66" s="27">
        <v>0.1</v>
      </c>
      <c r="H66" s="27">
        <v>0.1</v>
      </c>
      <c r="I66" s="27">
        <v>0.1</v>
      </c>
      <c r="J66" s="27">
        <v>0.1</v>
      </c>
      <c r="K66" s="27">
        <v>0.1</v>
      </c>
      <c r="L66" s="551">
        <v>0.1</v>
      </c>
    </row>
    <row r="67" spans="1:15" x14ac:dyDescent="0.25">
      <c r="A67" s="5"/>
    </row>
    <row r="68" spans="1:15" ht="17.5" x14ac:dyDescent="0.25">
      <c r="A68" s="5"/>
      <c r="B68" s="28"/>
      <c r="C68" s="28"/>
      <c r="D68" s="28"/>
      <c r="G68" s="1165" t="s">
        <v>77</v>
      </c>
      <c r="H68" s="1165"/>
      <c r="I68" s="1165" t="s">
        <v>78</v>
      </c>
      <c r="J68" s="1165"/>
      <c r="K68" s="1165"/>
      <c r="L68" s="1165" t="s">
        <v>79</v>
      </c>
      <c r="M68" s="1165"/>
      <c r="N68" s="1165"/>
      <c r="O68" s="1165"/>
    </row>
    <row r="69" spans="1:15" ht="122.5" x14ac:dyDescent="0.25">
      <c r="A69" s="5"/>
      <c r="G69" s="1165"/>
      <c r="H69" s="1165"/>
      <c r="I69" s="135" t="s">
        <v>475</v>
      </c>
      <c r="J69" s="135" t="s">
        <v>476</v>
      </c>
      <c r="K69" s="135" t="s">
        <v>477</v>
      </c>
      <c r="L69" s="1165"/>
      <c r="M69" s="1165"/>
      <c r="N69" s="1165"/>
      <c r="O69" s="1165"/>
    </row>
    <row r="70" spans="1:15" ht="48" hidden="1" customHeight="1" x14ac:dyDescent="0.3">
      <c r="B70" s="29"/>
      <c r="C70" s="30"/>
      <c r="D70" s="30"/>
      <c r="G70" s="1266">
        <v>2012</v>
      </c>
      <c r="H70" s="1266"/>
      <c r="I70" s="136">
        <v>637893310</v>
      </c>
      <c r="J70" s="136">
        <v>1536117259</v>
      </c>
      <c r="K70" s="44">
        <f t="shared" ref="K70:K78" si="1">+I70/J70</f>
        <v>0.41526342228279073</v>
      </c>
      <c r="L70" s="1268" t="s">
        <v>478</v>
      </c>
      <c r="M70" s="1286"/>
      <c r="N70" s="1286"/>
      <c r="O70" s="1286"/>
    </row>
    <row r="71" spans="1:15" ht="113.25" hidden="1" customHeight="1" x14ac:dyDescent="0.3">
      <c r="B71" s="29"/>
      <c r="C71" s="30"/>
      <c r="D71" s="30"/>
      <c r="G71" s="1266">
        <v>2013</v>
      </c>
      <c r="H71" s="1266"/>
      <c r="I71" s="136">
        <v>-33238175</v>
      </c>
      <c r="J71" s="136">
        <v>2174010478</v>
      </c>
      <c r="K71" s="44">
        <f t="shared" si="1"/>
        <v>-1.528887525444576E-2</v>
      </c>
      <c r="L71" s="1287" t="s">
        <v>479</v>
      </c>
      <c r="M71" s="1288"/>
      <c r="N71" s="1288"/>
      <c r="O71" s="1288"/>
    </row>
    <row r="72" spans="1:15" ht="24.75" hidden="1" customHeight="1" x14ac:dyDescent="0.3">
      <c r="B72" s="29"/>
      <c r="C72" s="30"/>
      <c r="D72" s="30"/>
      <c r="G72" s="1278">
        <v>2014</v>
      </c>
      <c r="H72" s="1279"/>
      <c r="I72" s="136">
        <f>359023431-J72</f>
        <v>-46551937</v>
      </c>
      <c r="J72" s="136">
        <v>405575368</v>
      </c>
      <c r="K72" s="44">
        <f t="shared" si="1"/>
        <v>-0.11477999078089969</v>
      </c>
      <c r="L72" s="1285" t="s">
        <v>661</v>
      </c>
      <c r="M72" s="1285"/>
      <c r="N72" s="1285"/>
      <c r="O72" s="1285"/>
    </row>
    <row r="73" spans="1:15" ht="24.75" hidden="1" customHeight="1" x14ac:dyDescent="0.3">
      <c r="B73" s="29"/>
      <c r="C73" s="30"/>
      <c r="D73" s="30"/>
      <c r="G73" s="1280"/>
      <c r="H73" s="1281"/>
      <c r="I73" s="136">
        <f>1110897144-J73</f>
        <v>387064385</v>
      </c>
      <c r="J73" s="136">
        <f>1129408127-J72</f>
        <v>723832759</v>
      </c>
      <c r="K73" s="44">
        <f t="shared" si="1"/>
        <v>0.53474283967852299</v>
      </c>
      <c r="L73" s="1285"/>
      <c r="M73" s="1285"/>
      <c r="N73" s="1285"/>
      <c r="O73" s="1285"/>
    </row>
    <row r="74" spans="1:15" ht="24.75" hidden="1" customHeight="1" x14ac:dyDescent="0.3">
      <c r="B74" s="29"/>
      <c r="C74" s="30"/>
      <c r="D74" s="30"/>
      <c r="G74" s="1280"/>
      <c r="H74" s="1281"/>
      <c r="I74" s="136">
        <f>555581994-J74</f>
        <v>255077746</v>
      </c>
      <c r="J74" s="136">
        <f>1429912375-J73-J72</f>
        <v>300504248</v>
      </c>
      <c r="K74" s="44">
        <f t="shared" si="1"/>
        <v>0.84883241317773317</v>
      </c>
      <c r="L74" s="1285"/>
      <c r="M74" s="1285"/>
      <c r="N74" s="1285"/>
      <c r="O74" s="1285"/>
    </row>
    <row r="75" spans="1:15" ht="24.75" hidden="1" customHeight="1" x14ac:dyDescent="0.3">
      <c r="B75" s="29"/>
      <c r="C75" s="30"/>
      <c r="D75" s="30"/>
      <c r="G75" s="1280"/>
      <c r="H75" s="1281"/>
      <c r="I75" s="136">
        <f>763573911-J75</f>
        <v>52713980</v>
      </c>
      <c r="J75" s="136">
        <v>710859931</v>
      </c>
      <c r="K75" s="44">
        <f t="shared" si="1"/>
        <v>7.4155227635133089E-2</v>
      </c>
      <c r="L75" s="1285"/>
      <c r="M75" s="1285"/>
      <c r="N75" s="1285"/>
      <c r="O75" s="1285"/>
    </row>
    <row r="76" spans="1:15" ht="100.5" customHeight="1" x14ac:dyDescent="0.3">
      <c r="B76" s="29"/>
      <c r="C76" s="30"/>
      <c r="D76" s="30"/>
      <c r="G76" s="1282"/>
      <c r="H76" s="1283"/>
      <c r="I76" s="136">
        <f>SUM(I72:I75)</f>
        <v>648304174</v>
      </c>
      <c r="J76" s="136">
        <f>SUM(J72:J75)</f>
        <v>2140772306</v>
      </c>
      <c r="K76" s="44">
        <f t="shared" si="1"/>
        <v>0.30283658480772591</v>
      </c>
      <c r="L76" s="1285"/>
      <c r="M76" s="1285"/>
      <c r="N76" s="1285"/>
      <c r="O76" s="1285"/>
    </row>
    <row r="77" spans="1:15" ht="24.75" customHeight="1" x14ac:dyDescent="0.3">
      <c r="B77" s="29"/>
      <c r="C77" s="30"/>
      <c r="D77" s="30"/>
      <c r="G77" s="1266">
        <v>2015</v>
      </c>
      <c r="H77" s="45" t="s">
        <v>212</v>
      </c>
      <c r="I77" s="136">
        <f>545711101-J77</f>
        <v>186687670</v>
      </c>
      <c r="J77" s="136">
        <v>359023431</v>
      </c>
      <c r="K77" s="44">
        <f t="shared" si="1"/>
        <v>0.51998742667021081</v>
      </c>
      <c r="L77" s="1285" t="s">
        <v>766</v>
      </c>
      <c r="M77" s="1285"/>
      <c r="N77" s="1285"/>
      <c r="O77" s="1285"/>
    </row>
    <row r="78" spans="1:15" ht="24.75" customHeight="1" x14ac:dyDescent="0.3">
      <c r="B78" s="29"/>
      <c r="C78" s="30"/>
      <c r="D78" s="30"/>
      <c r="G78" s="1266"/>
      <c r="H78" s="45" t="s">
        <v>213</v>
      </c>
      <c r="I78" s="136">
        <f>912927212-J78</f>
        <v>-197969932</v>
      </c>
      <c r="J78" s="136">
        <v>1110897144</v>
      </c>
      <c r="K78" s="44">
        <f t="shared" si="1"/>
        <v>-0.17820725624261755</v>
      </c>
      <c r="L78" s="1285"/>
      <c r="M78" s="1285"/>
      <c r="N78" s="1285"/>
      <c r="O78" s="1285"/>
    </row>
    <row r="79" spans="1:15" ht="24.75" customHeight="1" x14ac:dyDescent="0.3">
      <c r="B79" s="29"/>
      <c r="C79" s="30"/>
      <c r="D79" s="30"/>
      <c r="G79" s="1266"/>
      <c r="H79" s="45" t="s">
        <v>214</v>
      </c>
      <c r="I79" s="136">
        <f>39075578-J79</f>
        <v>-150631172</v>
      </c>
      <c r="J79" s="136">
        <v>189706750</v>
      </c>
      <c r="K79" s="44">
        <f>+I79/J79</f>
        <v>-0.79402115106605331</v>
      </c>
      <c r="L79" s="1285"/>
      <c r="M79" s="1285"/>
      <c r="N79" s="1285"/>
      <c r="O79" s="1285"/>
    </row>
    <row r="80" spans="1:15" ht="24.75" customHeight="1" x14ac:dyDescent="0.3">
      <c r="B80" s="29"/>
      <c r="C80" s="30"/>
      <c r="D80" s="30"/>
      <c r="G80" s="1266"/>
      <c r="H80" s="45" t="s">
        <v>215</v>
      </c>
      <c r="I80" s="136">
        <f>42724276-J80</f>
        <v>-142442653</v>
      </c>
      <c r="J80" s="136">
        <v>185166929</v>
      </c>
      <c r="K80" s="44">
        <f>+I80/J80</f>
        <v>-0.76926616307386075</v>
      </c>
      <c r="L80" s="1285"/>
      <c r="M80" s="1285"/>
      <c r="N80" s="1285"/>
      <c r="O80" s="1285"/>
    </row>
    <row r="81" spans="1:15" ht="31.5" customHeight="1" x14ac:dyDescent="0.3">
      <c r="B81" s="29"/>
      <c r="C81" s="30"/>
      <c r="D81" s="30"/>
      <c r="G81" s="1266"/>
      <c r="H81" s="45" t="s">
        <v>81</v>
      </c>
      <c r="I81" s="249">
        <f>SUM(I77:I80)</f>
        <v>-304356087</v>
      </c>
      <c r="J81" s="249">
        <f>SUM(J77:J80)</f>
        <v>1844794254</v>
      </c>
      <c r="K81" s="250">
        <f>+I81/J81</f>
        <v>-0.16498104671568431</v>
      </c>
      <c r="L81" s="1285"/>
      <c r="M81" s="1285"/>
      <c r="N81" s="1285"/>
      <c r="O81" s="1285"/>
    </row>
    <row r="82" spans="1:15" ht="24.75" customHeight="1" x14ac:dyDescent="0.3">
      <c r="B82" s="29"/>
      <c r="C82" s="30"/>
      <c r="D82" s="30"/>
      <c r="F82" s="428">
        <f>+I82-J82</f>
        <v>5144479169.8000002</v>
      </c>
      <c r="G82" s="1266">
        <v>2016</v>
      </c>
      <c r="H82" s="45" t="s">
        <v>212</v>
      </c>
      <c r="I82" s="435">
        <v>6921036538</v>
      </c>
      <c r="J82" s="426">
        <v>1776557368.2</v>
      </c>
      <c r="K82" s="436">
        <f>+J82/I82</f>
        <v>0.25668949418859432</v>
      </c>
      <c r="L82" s="1285" t="s">
        <v>1068</v>
      </c>
      <c r="M82" s="1285"/>
      <c r="N82" s="1285"/>
      <c r="O82" s="1285"/>
    </row>
    <row r="83" spans="1:15" ht="24.75" customHeight="1" x14ac:dyDescent="0.3">
      <c r="B83" s="29"/>
      <c r="C83" s="30"/>
      <c r="D83" s="30"/>
      <c r="F83" s="428">
        <f>+F82-J83</f>
        <v>2832634332.8000002</v>
      </c>
      <c r="G83" s="1266"/>
      <c r="H83" s="45" t="s">
        <v>213</v>
      </c>
      <c r="I83" s="426">
        <v>6921036538</v>
      </c>
      <c r="J83" s="437">
        <v>2311844837</v>
      </c>
      <c r="K83" s="436">
        <f>(J83/I83)+K82</f>
        <v>0.59072108386548727</v>
      </c>
      <c r="L83" s="1285"/>
      <c r="M83" s="1285"/>
      <c r="N83" s="1285"/>
      <c r="O83" s="1285"/>
    </row>
    <row r="84" spans="1:15" ht="24.75" customHeight="1" x14ac:dyDescent="0.3">
      <c r="B84" s="29"/>
      <c r="C84" s="30"/>
      <c r="D84" s="30"/>
      <c r="F84" s="428">
        <f>+F83-J84</f>
        <v>1156494747.8000002</v>
      </c>
      <c r="G84" s="1266"/>
      <c r="H84" s="45" t="s">
        <v>214</v>
      </c>
      <c r="I84" s="426">
        <v>7236729575</v>
      </c>
      <c r="J84" s="437">
        <v>1676139585</v>
      </c>
      <c r="K84" s="436">
        <f>J84/I84+K83</f>
        <v>0.82233670078592469</v>
      </c>
      <c r="L84" s="1285"/>
      <c r="M84" s="1285"/>
      <c r="N84" s="1285"/>
      <c r="O84" s="1285"/>
    </row>
    <row r="85" spans="1:15" ht="24.75" customHeight="1" x14ac:dyDescent="0.3">
      <c r="B85" s="29"/>
      <c r="C85" s="30"/>
      <c r="D85" s="30"/>
      <c r="F85" s="428">
        <f>+F84-J85</f>
        <v>1156494747.8000002</v>
      </c>
      <c r="G85" s="1266"/>
      <c r="H85" s="45" t="s">
        <v>215</v>
      </c>
      <c r="I85" s="136"/>
      <c r="J85" s="136"/>
      <c r="K85" s="44" t="e">
        <f>J85/I85+K84</f>
        <v>#DIV/0!</v>
      </c>
      <c r="L85" s="1285"/>
      <c r="M85" s="1285"/>
      <c r="N85" s="1285"/>
      <c r="O85" s="1285"/>
    </row>
    <row r="86" spans="1:15" ht="24.75" customHeight="1" x14ac:dyDescent="0.3">
      <c r="B86" s="29"/>
      <c r="C86" s="30"/>
      <c r="D86" s="30"/>
      <c r="G86" s="1266"/>
      <c r="H86" s="45" t="s">
        <v>81</v>
      </c>
      <c r="I86" s="136">
        <f>+J81</f>
        <v>1844794254</v>
      </c>
      <c r="J86" s="437">
        <v>1996151742</v>
      </c>
      <c r="K86" s="250">
        <f>(J86-I86)/I86</f>
        <v>8.2045728227859063E-2</v>
      </c>
      <c r="L86" s="1285"/>
      <c r="M86" s="1285"/>
      <c r="N86" s="1285"/>
      <c r="O86" s="1285"/>
    </row>
    <row r="87" spans="1:15" ht="24.75" customHeight="1" x14ac:dyDescent="0.3">
      <c r="B87" s="29"/>
      <c r="C87" s="30"/>
      <c r="D87" s="30"/>
      <c r="F87" s="428"/>
      <c r="G87" s="429">
        <v>2017</v>
      </c>
      <c r="H87" s="45" t="s">
        <v>81</v>
      </c>
      <c r="I87" s="550">
        <v>3483978707</v>
      </c>
      <c r="J87" s="437">
        <v>3784591115</v>
      </c>
      <c r="K87" s="250">
        <f>(J87-I87)/I87</f>
        <v>8.6284226535601499E-2</v>
      </c>
      <c r="L87" s="430"/>
      <c r="M87" s="430"/>
      <c r="N87" s="430"/>
      <c r="O87" s="431"/>
    </row>
    <row r="90" spans="1:15" ht="20" x14ac:dyDescent="0.25">
      <c r="A90" s="1154" t="str">
        <f>+E15</f>
        <v>N° eventos de capacitación y/o reinducción realizadas</v>
      </c>
      <c r="B90" s="1155"/>
      <c r="C90" s="1155"/>
      <c r="D90" s="1155"/>
      <c r="E90" s="1155"/>
      <c r="F90" s="1155"/>
      <c r="G90" s="1155"/>
      <c r="H90" s="1155"/>
      <c r="I90" s="1155"/>
      <c r="J90" s="1155"/>
      <c r="K90" s="1155"/>
      <c r="L90" s="1155"/>
      <c r="M90" s="1155"/>
      <c r="N90" s="1155"/>
      <c r="O90" s="1156"/>
    </row>
    <row r="91" spans="1:15" x14ac:dyDescent="0.25">
      <c r="A91" s="505" t="s">
        <v>76</v>
      </c>
      <c r="B91" s="505" t="s">
        <v>95</v>
      </c>
      <c r="C91" s="1186" t="s">
        <v>78</v>
      </c>
      <c r="D91" s="1186"/>
      <c r="E91" s="1186"/>
      <c r="F91" s="1186"/>
      <c r="G91" s="1186"/>
      <c r="H91" s="1186" t="s">
        <v>79</v>
      </c>
      <c r="I91" s="1186"/>
      <c r="J91" s="1186"/>
      <c r="K91" s="1186"/>
      <c r="L91" s="1186"/>
      <c r="M91" s="1186"/>
      <c r="N91" s="1186"/>
      <c r="O91" s="1186"/>
    </row>
    <row r="92" spans="1:15" s="510" customFormat="1" ht="45" customHeight="1" x14ac:dyDescent="0.25">
      <c r="A92" s="508" t="str">
        <f>+D15</f>
        <v>N° DE CAPACITACIONES Y REINDUCCIONES REALIZADAS EN LA APLICACIÓN DE LOS PROCEDIMIENTOS Y MANEJO DE APLICATIVOS FINANCIEROS Y/O CONTABLES.</v>
      </c>
      <c r="B92" s="509">
        <v>1</v>
      </c>
      <c r="C92" s="1263" t="s">
        <v>1150</v>
      </c>
      <c r="D92" s="1263"/>
      <c r="E92" s="1263"/>
      <c r="F92" s="1263"/>
      <c r="G92" s="1263"/>
      <c r="H92" s="1264" t="s">
        <v>1151</v>
      </c>
      <c r="I92" s="1264"/>
      <c r="J92" s="1264"/>
      <c r="K92" s="1264"/>
      <c r="L92" s="1264"/>
      <c r="M92" s="1264"/>
      <c r="N92" s="1264"/>
      <c r="O92" s="1264"/>
    </row>
    <row r="94" spans="1:15" ht="20" x14ac:dyDescent="0.25">
      <c r="A94" s="1154" t="str">
        <f>+D17</f>
        <v>POLÍTICAS Y PROCEDIMIENTOS REVISADOS Y ACTUALIZADOS PARA EFECTUAR LOS RECAUDOS DE CARTERA</v>
      </c>
      <c r="B94" s="1155"/>
      <c r="C94" s="1155"/>
      <c r="D94" s="1155"/>
      <c r="E94" s="1155"/>
      <c r="F94" s="1155"/>
      <c r="G94" s="1155"/>
      <c r="H94" s="1155"/>
      <c r="I94" s="1155"/>
      <c r="J94" s="1155"/>
      <c r="K94" s="1155"/>
      <c r="L94" s="1155"/>
      <c r="M94" s="1155"/>
      <c r="N94" s="1155"/>
      <c r="O94" s="1156"/>
    </row>
    <row r="95" spans="1:15" x14ac:dyDescent="0.25">
      <c r="A95" s="505" t="s">
        <v>76</v>
      </c>
      <c r="B95" s="505" t="s">
        <v>95</v>
      </c>
      <c r="C95" s="1186" t="s">
        <v>78</v>
      </c>
      <c r="D95" s="1186"/>
      <c r="E95" s="1186"/>
      <c r="F95" s="1186"/>
      <c r="G95" s="1186"/>
      <c r="H95" s="1186" t="s">
        <v>79</v>
      </c>
      <c r="I95" s="1186"/>
      <c r="J95" s="1186"/>
      <c r="K95" s="1186"/>
      <c r="L95" s="1186"/>
      <c r="M95" s="1186"/>
      <c r="N95" s="1186"/>
      <c r="O95" s="1186"/>
    </row>
    <row r="96" spans="1:15" s="510" customFormat="1" ht="40.5" customHeight="1" x14ac:dyDescent="0.25">
      <c r="A96" s="508" t="str">
        <f>+D17</f>
        <v>POLÍTICAS Y PROCEDIMIENTOS REVISADOS Y ACTUALIZADOS PARA EFECTUAR LOS RECAUDOS DE CARTERA</v>
      </c>
      <c r="B96" s="511">
        <v>1</v>
      </c>
      <c r="C96" s="1263" t="s">
        <v>1066</v>
      </c>
      <c r="D96" s="1263"/>
      <c r="E96" s="1263"/>
      <c r="F96" s="1263"/>
      <c r="G96" s="1263"/>
      <c r="H96" s="1264" t="s">
        <v>1152</v>
      </c>
      <c r="I96" s="1264"/>
      <c r="J96" s="1264"/>
      <c r="K96" s="1264"/>
      <c r="L96" s="1264"/>
      <c r="M96" s="1264"/>
      <c r="N96" s="1264"/>
      <c r="O96" s="1264"/>
    </row>
    <row r="98" spans="1:15" ht="20" x14ac:dyDescent="0.25">
      <c r="A98" s="1154" t="str">
        <f>+D19</f>
        <v>N° DE APLICATIVOS FINANCIEROS Y CONTABLES ACTUALIZADOS</v>
      </c>
      <c r="B98" s="1155"/>
      <c r="C98" s="1155"/>
      <c r="D98" s="1155"/>
      <c r="E98" s="1155"/>
      <c r="F98" s="1155"/>
      <c r="G98" s="1155"/>
      <c r="H98" s="1155"/>
      <c r="I98" s="1155"/>
      <c r="J98" s="1155"/>
      <c r="K98" s="1155"/>
      <c r="L98" s="1155"/>
      <c r="M98" s="1155"/>
      <c r="N98" s="1155"/>
      <c r="O98" s="1156"/>
    </row>
    <row r="99" spans="1:15" x14ac:dyDescent="0.25">
      <c r="A99" s="505" t="s">
        <v>76</v>
      </c>
      <c r="B99" s="505" t="s">
        <v>95</v>
      </c>
      <c r="C99" s="1186" t="s">
        <v>78</v>
      </c>
      <c r="D99" s="1186"/>
      <c r="E99" s="1186"/>
      <c r="F99" s="1186"/>
      <c r="G99" s="1186"/>
      <c r="H99" s="1186" t="s">
        <v>79</v>
      </c>
      <c r="I99" s="1186"/>
      <c r="J99" s="1186"/>
      <c r="K99" s="1186"/>
      <c r="L99" s="1186"/>
      <c r="M99" s="1186"/>
      <c r="N99" s="1186"/>
      <c r="O99" s="1186"/>
    </row>
    <row r="100" spans="1:15" ht="49.5" customHeight="1" x14ac:dyDescent="0.25">
      <c r="A100" s="95" t="str">
        <f>+D19</f>
        <v>N° DE APLICATIVOS FINANCIEROS Y CONTABLES ACTUALIZADOS</v>
      </c>
      <c r="B100" s="512">
        <v>1</v>
      </c>
      <c r="C100" s="997" t="s">
        <v>1067</v>
      </c>
      <c r="D100" s="997"/>
      <c r="E100" s="997"/>
      <c r="F100" s="997"/>
      <c r="G100" s="997"/>
      <c r="H100" s="998"/>
      <c r="I100" s="998"/>
      <c r="J100" s="998"/>
      <c r="K100" s="998"/>
      <c r="L100" s="998"/>
      <c r="M100" s="998"/>
      <c r="N100" s="998"/>
      <c r="O100" s="998"/>
    </row>
    <row r="102" spans="1:15" ht="20" x14ac:dyDescent="0.25">
      <c r="A102" s="1154" t="str">
        <f>+E21</f>
        <v>% de Entidades financiera con dobles claves implementadas</v>
      </c>
      <c r="B102" s="1155"/>
      <c r="C102" s="1155"/>
      <c r="D102" s="1155"/>
      <c r="E102" s="1155"/>
      <c r="F102" s="1155"/>
      <c r="G102" s="1155"/>
      <c r="H102" s="1155"/>
      <c r="I102" s="1155"/>
      <c r="J102" s="1155"/>
      <c r="K102" s="1155"/>
      <c r="L102" s="1155"/>
      <c r="M102" s="1155"/>
      <c r="N102" s="1155"/>
      <c r="O102" s="1156"/>
    </row>
    <row r="103" spans="1:15" x14ac:dyDescent="0.25">
      <c r="A103" s="505" t="s">
        <v>76</v>
      </c>
      <c r="B103" s="505" t="s">
        <v>95</v>
      </c>
      <c r="C103" s="1186" t="s">
        <v>78</v>
      </c>
      <c r="D103" s="1186"/>
      <c r="E103" s="1186"/>
      <c r="F103" s="1186"/>
      <c r="G103" s="1186"/>
      <c r="H103" s="1186" t="s">
        <v>79</v>
      </c>
      <c r="I103" s="1186"/>
      <c r="J103" s="1186"/>
      <c r="K103" s="1186"/>
      <c r="L103" s="1186"/>
      <c r="M103" s="1186"/>
      <c r="N103" s="1186"/>
      <c r="O103" s="1186"/>
    </row>
    <row r="104" spans="1:15" s="510" customFormat="1" ht="53.25" customHeight="1" x14ac:dyDescent="0.25">
      <c r="A104" s="508" t="str">
        <f>+E27</f>
        <v>% del uso de la herramienta financiera</v>
      </c>
      <c r="B104" s="509">
        <v>1</v>
      </c>
      <c r="C104" s="1263" t="s">
        <v>1153</v>
      </c>
      <c r="D104" s="1263"/>
      <c r="E104" s="1263"/>
      <c r="F104" s="1263"/>
      <c r="G104" s="1263"/>
      <c r="H104" s="1264" t="s">
        <v>1154</v>
      </c>
      <c r="I104" s="1264"/>
      <c r="J104" s="1264"/>
      <c r="K104" s="1264"/>
      <c r="L104" s="1264"/>
      <c r="M104" s="1264"/>
      <c r="N104" s="1264"/>
      <c r="O104" s="1264"/>
    </row>
    <row r="106" spans="1:15" ht="20" x14ac:dyDescent="0.25">
      <c r="A106" s="1154" t="str">
        <f>+E24</f>
        <v>% de cartera depurada</v>
      </c>
      <c r="B106" s="1155"/>
      <c r="C106" s="1155"/>
      <c r="D106" s="1155"/>
      <c r="E106" s="1155"/>
      <c r="F106" s="1155"/>
      <c r="G106" s="1155"/>
      <c r="H106" s="1155"/>
      <c r="I106" s="1155"/>
      <c r="J106" s="1155"/>
      <c r="K106" s="1155"/>
      <c r="L106" s="1155"/>
      <c r="M106" s="1155"/>
      <c r="N106" s="1155"/>
      <c r="O106" s="1156"/>
    </row>
    <row r="107" spans="1:15" x14ac:dyDescent="0.25">
      <c r="A107" s="505" t="s">
        <v>76</v>
      </c>
      <c r="B107" s="505" t="s">
        <v>95</v>
      </c>
      <c r="C107" s="1186" t="s">
        <v>78</v>
      </c>
      <c r="D107" s="1186"/>
      <c r="E107" s="1186"/>
      <c r="F107" s="1186"/>
      <c r="G107" s="1186"/>
      <c r="H107" s="1186" t="s">
        <v>79</v>
      </c>
      <c r="I107" s="1186"/>
      <c r="J107" s="1186"/>
      <c r="K107" s="1186"/>
      <c r="L107" s="1186"/>
      <c r="M107" s="1186"/>
      <c r="N107" s="1186"/>
      <c r="O107" s="1186"/>
    </row>
    <row r="108" spans="1:15" s="510" customFormat="1" ht="55.5" customHeight="1" x14ac:dyDescent="0.25">
      <c r="A108" s="508" t="str">
        <f>+D27</f>
        <v>% DEL USO DE LA HERRAMIENTA FINANCIERA</v>
      </c>
      <c r="B108" s="513">
        <v>0.85</v>
      </c>
      <c r="C108" s="1263" t="s">
        <v>1155</v>
      </c>
      <c r="D108" s="1263"/>
      <c r="E108" s="1263"/>
      <c r="F108" s="1263"/>
      <c r="G108" s="1263"/>
      <c r="H108" s="1264" t="s">
        <v>1156</v>
      </c>
      <c r="I108" s="1264"/>
      <c r="J108" s="1264"/>
      <c r="K108" s="1264"/>
      <c r="L108" s="1264"/>
      <c r="M108" s="1264"/>
      <c r="N108" s="1264"/>
      <c r="O108" s="1264"/>
    </row>
    <row r="110" spans="1:15" ht="20" x14ac:dyDescent="0.25">
      <c r="A110" s="1154" t="str">
        <f>+E30</f>
        <v>Póliza de seguro adquirida</v>
      </c>
      <c r="B110" s="1155"/>
      <c r="C110" s="1155"/>
      <c r="D110" s="1155"/>
      <c r="E110" s="1155"/>
      <c r="F110" s="1155"/>
      <c r="G110" s="1155"/>
      <c r="H110" s="1155"/>
      <c r="I110" s="1155"/>
      <c r="J110" s="1155"/>
      <c r="K110" s="1155"/>
      <c r="L110" s="1155"/>
      <c r="M110" s="1155"/>
      <c r="N110" s="1155"/>
      <c r="O110" s="1156"/>
    </row>
    <row r="111" spans="1:15" x14ac:dyDescent="0.25">
      <c r="A111" s="507" t="s">
        <v>76</v>
      </c>
      <c r="B111" s="507" t="s">
        <v>95</v>
      </c>
      <c r="C111" s="1186" t="s">
        <v>78</v>
      </c>
      <c r="D111" s="1186"/>
      <c r="E111" s="1186"/>
      <c r="F111" s="1186"/>
      <c r="G111" s="1186"/>
      <c r="H111" s="1186" t="s">
        <v>79</v>
      </c>
      <c r="I111" s="1186"/>
      <c r="J111" s="1186"/>
      <c r="K111" s="1186"/>
      <c r="L111" s="1186"/>
      <c r="M111" s="1186"/>
      <c r="N111" s="1186"/>
      <c r="O111" s="1186"/>
    </row>
    <row r="112" spans="1:15" s="510" customFormat="1" ht="55.5" customHeight="1" x14ac:dyDescent="0.25">
      <c r="A112" s="508" t="str">
        <f>+D30</f>
        <v>PÓLIZA DE SEGURO ADQUIRIDA</v>
      </c>
      <c r="B112" s="513">
        <v>1</v>
      </c>
      <c r="C112" s="1263" t="s">
        <v>1158</v>
      </c>
      <c r="D112" s="1263"/>
      <c r="E112" s="1263"/>
      <c r="F112" s="1263"/>
      <c r="G112" s="1263"/>
      <c r="H112" s="1264" t="s">
        <v>1157</v>
      </c>
      <c r="I112" s="1264"/>
      <c r="J112" s="1264"/>
      <c r="K112" s="1264"/>
      <c r="L112" s="1264"/>
      <c r="M112" s="1264"/>
      <c r="N112" s="1264"/>
      <c r="O112" s="1264"/>
    </row>
  </sheetData>
  <mergeCells count="161">
    <mergeCell ref="C30:C31"/>
    <mergeCell ref="D30:D31"/>
    <mergeCell ref="E30:E31"/>
    <mergeCell ref="F30:F31"/>
    <mergeCell ref="G30:I31"/>
    <mergeCell ref="J30:J31"/>
    <mergeCell ref="K30:K31"/>
    <mergeCell ref="N30:N31"/>
    <mergeCell ref="O30:O31"/>
    <mergeCell ref="C27:C29"/>
    <mergeCell ref="D27:D29"/>
    <mergeCell ref="E27:E29"/>
    <mergeCell ref="F27:F29"/>
    <mergeCell ref="G27:I29"/>
    <mergeCell ref="J27:J29"/>
    <mergeCell ref="K27:K29"/>
    <mergeCell ref="N27:N29"/>
    <mergeCell ref="O27:O29"/>
    <mergeCell ref="C108:G108"/>
    <mergeCell ref="H108:O108"/>
    <mergeCell ref="C103:G103"/>
    <mergeCell ref="H103:O103"/>
    <mergeCell ref="C104:G104"/>
    <mergeCell ref="H104:O104"/>
    <mergeCell ref="A106:O106"/>
    <mergeCell ref="C107:G107"/>
    <mergeCell ref="H107:O107"/>
    <mergeCell ref="A98:O98"/>
    <mergeCell ref="C99:G99"/>
    <mergeCell ref="H99:O99"/>
    <mergeCell ref="C100:G100"/>
    <mergeCell ref="H100:O100"/>
    <mergeCell ref="A102:O102"/>
    <mergeCell ref="C92:G92"/>
    <mergeCell ref="H92:O92"/>
    <mergeCell ref="A94:O94"/>
    <mergeCell ref="C95:G95"/>
    <mergeCell ref="H95:O95"/>
    <mergeCell ref="C96:G96"/>
    <mergeCell ref="H96:O96"/>
    <mergeCell ref="G77:G81"/>
    <mergeCell ref="L77:O81"/>
    <mergeCell ref="G82:G86"/>
    <mergeCell ref="L82:O86"/>
    <mergeCell ref="A90:O90"/>
    <mergeCell ref="C91:G91"/>
    <mergeCell ref="H91:O91"/>
    <mergeCell ref="G70:H70"/>
    <mergeCell ref="L70:O70"/>
    <mergeCell ref="G71:H71"/>
    <mergeCell ref="L71:O71"/>
    <mergeCell ref="G72:H76"/>
    <mergeCell ref="L72:O76"/>
    <mergeCell ref="G55:G59"/>
    <mergeCell ref="L55:O59"/>
    <mergeCell ref="A62:O62"/>
    <mergeCell ref="A65:F65"/>
    <mergeCell ref="A66:F66"/>
    <mergeCell ref="G68:H69"/>
    <mergeCell ref="I68:K68"/>
    <mergeCell ref="L68:O69"/>
    <mergeCell ref="G44:H44"/>
    <mergeCell ref="L44:O44"/>
    <mergeCell ref="G45:H49"/>
    <mergeCell ref="L45:O49"/>
    <mergeCell ref="G50:G54"/>
    <mergeCell ref="L50:O54"/>
    <mergeCell ref="J24:J26"/>
    <mergeCell ref="K24:K26"/>
    <mergeCell ref="N24:N26"/>
    <mergeCell ref="G41:H41"/>
    <mergeCell ref="L41:O41"/>
    <mergeCell ref="G42:H42"/>
    <mergeCell ref="L42:O42"/>
    <mergeCell ref="G43:H43"/>
    <mergeCell ref="L43:O43"/>
    <mergeCell ref="O24:O26"/>
    <mergeCell ref="A33:O33"/>
    <mergeCell ref="A36:F36"/>
    <mergeCell ref="A37:F37"/>
    <mergeCell ref="G39:H40"/>
    <mergeCell ref="I39:K39"/>
    <mergeCell ref="L39:O40"/>
    <mergeCell ref="A9:B26"/>
    <mergeCell ref="C24:C26"/>
    <mergeCell ref="D24:D26"/>
    <mergeCell ref="E24:E26"/>
    <mergeCell ref="F24:F26"/>
    <mergeCell ref="G24:I26"/>
    <mergeCell ref="O19:O20"/>
    <mergeCell ref="C21:C23"/>
    <mergeCell ref="F21:F23"/>
    <mergeCell ref="G21:I23"/>
    <mergeCell ref="J21:J23"/>
    <mergeCell ref="K21:K23"/>
    <mergeCell ref="C19:C20"/>
    <mergeCell ref="D19:D20"/>
    <mergeCell ref="E19:E20"/>
    <mergeCell ref="F19:F20"/>
    <mergeCell ref="G19:I20"/>
    <mergeCell ref="J19:J20"/>
    <mergeCell ref="N21:N23"/>
    <mergeCell ref="O21:O23"/>
    <mergeCell ref="K19:K20"/>
    <mergeCell ref="N19:N20"/>
    <mergeCell ref="O15:O16"/>
    <mergeCell ref="C17:C18"/>
    <mergeCell ref="D17:D18"/>
    <mergeCell ref="E17:E18"/>
    <mergeCell ref="F17:F18"/>
    <mergeCell ref="G17:I18"/>
    <mergeCell ref="J17:J18"/>
    <mergeCell ref="K17:K18"/>
    <mergeCell ref="N17:N18"/>
    <mergeCell ref="O17:O18"/>
    <mergeCell ref="C15:C16"/>
    <mergeCell ref="D15:D16"/>
    <mergeCell ref="E15:E16"/>
    <mergeCell ref="F15:F16"/>
    <mergeCell ref="G15:I16"/>
    <mergeCell ref="J15:J16"/>
    <mergeCell ref="K15:K16"/>
    <mergeCell ref="N15:N16"/>
    <mergeCell ref="D21:D23"/>
    <mergeCell ref="E21:E23"/>
    <mergeCell ref="J12:J14"/>
    <mergeCell ref="K12:K14"/>
    <mergeCell ref="N12:N14"/>
    <mergeCell ref="O12:O14"/>
    <mergeCell ref="C9:C11"/>
    <mergeCell ref="D9:D11"/>
    <mergeCell ref="E9:E11"/>
    <mergeCell ref="F9:F11"/>
    <mergeCell ref="G9:I11"/>
    <mergeCell ref="J9:J11"/>
    <mergeCell ref="K9:K11"/>
    <mergeCell ref="N9:N11"/>
    <mergeCell ref="A110:O110"/>
    <mergeCell ref="C111:G111"/>
    <mergeCell ref="H111:O111"/>
    <mergeCell ref="C112:G112"/>
    <mergeCell ref="H112:O112"/>
    <mergeCell ref="A1:D1"/>
    <mergeCell ref="A2:O2"/>
    <mergeCell ref="A4:B8"/>
    <mergeCell ref="C4:C8"/>
    <mergeCell ref="D4:D8"/>
    <mergeCell ref="E4:E8"/>
    <mergeCell ref="F4:F8"/>
    <mergeCell ref="G4:I4"/>
    <mergeCell ref="J4:J8"/>
    <mergeCell ref="K4:K8"/>
    <mergeCell ref="L4:M4"/>
    <mergeCell ref="N4:N8"/>
    <mergeCell ref="O4:O8"/>
    <mergeCell ref="O9:O11"/>
    <mergeCell ref="C12:C14"/>
    <mergeCell ref="D12:D14"/>
    <mergeCell ref="E12:E14"/>
    <mergeCell ref="F12:F14"/>
    <mergeCell ref="G12:I14"/>
  </mergeCells>
  <hyperlinks>
    <hyperlink ref="A33:O33" location="'Hoja 11. TABLA DE CONTROL'!B57" display="'Hoja 11. TABLA DE CONTROL'!B57" xr:uid="{00000000-0004-0000-4B00-000000000000}"/>
    <hyperlink ref="D9:D11" location="'Hoja 9. FC'!A22" display="PORCENTAJE (%) DE INCREMENTO DE CARTERA RECUPERADA ENTRE VIGENCIAS." xr:uid="{00000000-0004-0000-4B00-000001000000}"/>
    <hyperlink ref="A62:O62" location="'Hoja 11. TABLA DE CONTROL'!B58" display="'Hoja 11. TABLA DE CONTROL'!B58" xr:uid="{00000000-0004-0000-4B00-000002000000}"/>
    <hyperlink ref="A90:O90" location="'Hoja 11. TABLA DE CONTROL'!B61" display="'Hoja 11. TABLA DE CONTROL'!B61" xr:uid="{00000000-0004-0000-4B00-000003000000}"/>
    <hyperlink ref="D12:D14" location="'Hoja 9. FC'!A57" display="PORCENTAJE (%) DE INCREMENTO DE INGRESOS POR SOBRETASA AMBIENTAL  ENTRE VIGENCIAS. " xr:uid="{00000000-0004-0000-4B00-000004000000}"/>
    <hyperlink ref="D15:D16" location="'Hoja 9. FC'!A85" display="N° DE CAPACITACIONES Y REINDUCCIONES REALIZADAS EN LA APLICACIÓN DE LOS PROCEDIMIENTOS Y MANEJO DE APLICATIVOS FINANCIEROS Y/O CONTABLES." xr:uid="{00000000-0004-0000-4B00-000005000000}"/>
    <hyperlink ref="D17:D18" location="'Hoja 9. FC'!A89" display="POLÍTICAS Y PROCEDIMIENTOS REVISADOS Y ACTUALIZADOS PARA EFECTUAR LOS RECAUDOS DE CARTERA" xr:uid="{00000000-0004-0000-4B00-000006000000}"/>
    <hyperlink ref="A94:O94" location="'Hoja 11. TABLA DE CONTROL'!B61" display="'Hoja 11. TABLA DE CONTROL'!B61" xr:uid="{00000000-0004-0000-4B00-000007000000}"/>
    <hyperlink ref="A98:O98" location="'Hoja 11. TABLA DE CONTROL'!B61" display="'Hoja 11. TABLA DE CONTROL'!B61" xr:uid="{00000000-0004-0000-4B00-000008000000}"/>
    <hyperlink ref="D19:D20" location="'Hoja 9. FC'!A93" display="N° DE APLICATIVOS FINANCIEROS Y CONTABLES ACTUALIZADOS" xr:uid="{00000000-0004-0000-4B00-000009000000}"/>
    <hyperlink ref="A102:O102" location="'Hoja 11. TABLA DE CONTROL'!B61" display="'Hoja 11. TABLA DE CONTROL'!B61" xr:uid="{00000000-0004-0000-4B00-00000A000000}"/>
    <hyperlink ref="A106:O106" location="'Hoja 11. TABLA DE CONTROL'!B61" display="'Hoja 11. TABLA DE CONTROL'!B61" xr:uid="{00000000-0004-0000-4B00-00000B000000}"/>
    <hyperlink ref="D21:D22" location="'Hoja 9. FC'!A87" display="N° DE APLICATIVOS FINANCIEROS Y CONTABLES ACTUALIZADOS" xr:uid="{00000000-0004-0000-4B00-00000C000000}"/>
    <hyperlink ref="D21:D23" location="'Hoja 9. FC'!A97" display="% IMPLEMENTACIÓN DE DOBLE CLAVE EN LOS PAGOS A TRAVÉS DE LOS PORTALES VIRTUALES" xr:uid="{00000000-0004-0000-4B00-00000D000000}"/>
    <hyperlink ref="D24:D25" location="'Hoja 9. FC'!A87" display="N° DE APLICATIVOS FINANCIEROS Y CONTABLES ACTUALIZADOS" xr:uid="{00000000-0004-0000-4B00-00000E000000}"/>
    <hyperlink ref="D24:D26" location="'Hoja 9. FC'!A101" display="% IMPLEMENTACIÓN DE DOBLE CLAVE EN LOS PAGOS A TRAVÉS DE LOS PORTALES VIRTUALES" xr:uid="{00000000-0004-0000-4B00-00000F000000}"/>
    <hyperlink ref="D27:D28" location="'Hoja 9. FC'!A87" display="N° DE APLICATIVOS FINANCIEROS Y CONTABLES ACTUALIZADOS" xr:uid="{00000000-0004-0000-4B00-000010000000}"/>
    <hyperlink ref="D27:D29" location="'Hoja 9. FC'!A101" display="% IMPLEMENTACIÓN DE DOBLE CLAVE EN LOS PAGOS A TRAVÉS DE LOS PORTALES VIRTUALES" xr:uid="{00000000-0004-0000-4B00-000011000000}"/>
    <hyperlink ref="D30:D31" location="'Hoja 9. FC'!A101" display="% IMPLEMENTACIÓN DE DOBLE CLAVE EN LOS PAGOS A TRAVÉS DE LOS PORTALES VIRTUALES" xr:uid="{00000000-0004-0000-4B00-000012000000}"/>
    <hyperlink ref="A110:O110" location="'Hoja 11. TABLA DE CONTROL'!B61" display="'Hoja 11. TABLA DE CONTROL'!B61" xr:uid="{00000000-0004-0000-4B00-000013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05
Hoja 9. Indicadores Proceso Gestión Financiera y Contable
Página &amp;P de &amp;N</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tabColor rgb="FFFF0000"/>
  </sheetPr>
  <dimension ref="A1:O78"/>
  <sheetViews>
    <sheetView showGridLines="0" topLeftCell="A60" zoomScale="70" zoomScaleNormal="70" workbookViewId="0">
      <selection activeCell="C78" sqref="C78:G78"/>
    </sheetView>
  </sheetViews>
  <sheetFormatPr baseColWidth="10" defaultColWidth="11.453125" defaultRowHeight="13.5" x14ac:dyDescent="0.25"/>
  <cols>
    <col min="1" max="2" width="24.08984375" style="2" customWidth="1"/>
    <col min="3" max="3" width="20.453125" style="2" customWidth="1"/>
    <col min="4" max="4" width="21.54296875" style="2" customWidth="1"/>
    <col min="5" max="5" width="21.36328125" style="2" customWidth="1"/>
    <col min="6" max="6" width="27" style="2" customWidth="1"/>
    <col min="7" max="7" width="22.453125" style="2" customWidth="1"/>
    <col min="8" max="8" width="37.90625" style="2" customWidth="1"/>
    <col min="9" max="9" width="30.08984375" style="2" customWidth="1"/>
    <col min="10" max="10" width="22.90625" style="2" customWidth="1"/>
    <col min="11" max="11" width="17.90625" style="2" customWidth="1"/>
    <col min="12" max="12" width="25.36328125" style="2" customWidth="1"/>
    <col min="13" max="13" width="69.90625" style="2" customWidth="1"/>
    <col min="14" max="14" width="24.08984375" style="2" customWidth="1"/>
    <col min="15" max="15" width="27.36328125" style="2" customWidth="1"/>
    <col min="16" max="16" width="43.6328125" style="2" customWidth="1"/>
    <col min="17" max="16384" width="11.453125" style="2"/>
  </cols>
  <sheetData>
    <row r="1" spans="1:15" ht="64.5" customHeight="1" x14ac:dyDescent="0.25">
      <c r="A1" s="744"/>
      <c r="B1" s="744"/>
      <c r="C1" s="744"/>
      <c r="D1" s="744"/>
      <c r="E1" s="9"/>
      <c r="F1" s="9"/>
      <c r="G1" s="9"/>
      <c r="H1" s="9"/>
      <c r="I1" s="9"/>
      <c r="J1" s="9"/>
      <c r="K1" s="9"/>
      <c r="L1" s="9"/>
      <c r="M1" s="9"/>
      <c r="N1" s="9"/>
      <c r="O1" s="9"/>
    </row>
    <row r="2" spans="1:15" ht="27.75" customHeight="1" x14ac:dyDescent="0.25">
      <c r="A2" s="1172" t="s">
        <v>25</v>
      </c>
      <c r="B2" s="1173"/>
      <c r="C2" s="1173"/>
      <c r="D2" s="1173"/>
      <c r="E2" s="1173"/>
      <c r="F2" s="1173"/>
      <c r="G2" s="1173"/>
      <c r="H2" s="1173"/>
      <c r="I2" s="1173"/>
      <c r="J2" s="1173"/>
      <c r="K2" s="1173"/>
      <c r="L2" s="1173"/>
      <c r="M2" s="1173"/>
      <c r="N2" s="1173"/>
      <c r="O2" s="1174"/>
    </row>
    <row r="4" spans="1:15" s="4" customFormat="1" ht="41.25" customHeight="1" x14ac:dyDescent="0.35">
      <c r="A4" s="1175" t="s">
        <v>0</v>
      </c>
      <c r="B4" s="1175"/>
      <c r="C4" s="1175" t="s">
        <v>26</v>
      </c>
      <c r="D4" s="1175" t="s">
        <v>1</v>
      </c>
      <c r="E4" s="1175" t="s">
        <v>2</v>
      </c>
      <c r="F4" s="1175" t="s">
        <v>3</v>
      </c>
      <c r="G4" s="1175" t="s">
        <v>33</v>
      </c>
      <c r="H4" s="1175"/>
      <c r="I4" s="1175"/>
      <c r="J4" s="1176" t="s">
        <v>4</v>
      </c>
      <c r="K4" s="1176" t="s">
        <v>5</v>
      </c>
      <c r="L4" s="1178" t="s">
        <v>49</v>
      </c>
      <c r="M4" s="1179"/>
      <c r="N4" s="1176" t="s">
        <v>6</v>
      </c>
      <c r="O4" s="1176" t="s">
        <v>7</v>
      </c>
    </row>
    <row r="5" spans="1:15" s="4" customFormat="1" ht="36" customHeight="1" x14ac:dyDescent="0.35">
      <c r="A5" s="1175"/>
      <c r="B5" s="1175"/>
      <c r="C5" s="1175"/>
      <c r="D5" s="1175"/>
      <c r="E5" s="1175"/>
      <c r="F5" s="1175"/>
      <c r="G5" s="21" t="s">
        <v>31</v>
      </c>
      <c r="H5" s="21" t="s">
        <v>32</v>
      </c>
      <c r="I5" s="21" t="s">
        <v>43</v>
      </c>
      <c r="J5" s="1177"/>
      <c r="K5" s="1177"/>
      <c r="L5" s="21" t="s">
        <v>47</v>
      </c>
      <c r="M5" s="21" t="s">
        <v>48</v>
      </c>
      <c r="N5" s="1177"/>
      <c r="O5" s="1177"/>
    </row>
    <row r="6" spans="1:15" s="4" customFormat="1" ht="40.5" x14ac:dyDescent="0.35">
      <c r="A6" s="1175"/>
      <c r="B6" s="1175"/>
      <c r="C6" s="1175"/>
      <c r="D6" s="1175"/>
      <c r="E6" s="1175"/>
      <c r="F6" s="1175"/>
      <c r="G6" s="14" t="s">
        <v>35</v>
      </c>
      <c r="H6" s="15" t="s">
        <v>37</v>
      </c>
      <c r="I6" s="14" t="s">
        <v>40</v>
      </c>
      <c r="J6" s="1177"/>
      <c r="K6" s="1177"/>
      <c r="L6" s="11" t="s">
        <v>44</v>
      </c>
      <c r="M6" s="15" t="s">
        <v>52</v>
      </c>
      <c r="N6" s="1177"/>
      <c r="O6" s="1177"/>
    </row>
    <row r="7" spans="1:15" s="4" customFormat="1" ht="40.5" x14ac:dyDescent="0.35">
      <c r="A7" s="1175"/>
      <c r="B7" s="1175"/>
      <c r="C7" s="1175"/>
      <c r="D7" s="1175"/>
      <c r="E7" s="1175"/>
      <c r="F7" s="1175"/>
      <c r="G7" s="14" t="s">
        <v>34</v>
      </c>
      <c r="H7" s="15" t="s">
        <v>38</v>
      </c>
      <c r="I7" s="14" t="s">
        <v>41</v>
      </c>
      <c r="J7" s="1177"/>
      <c r="K7" s="1177"/>
      <c r="L7" s="10" t="s">
        <v>45</v>
      </c>
      <c r="M7" s="15" t="s">
        <v>50</v>
      </c>
      <c r="N7" s="1177"/>
      <c r="O7" s="1177"/>
    </row>
    <row r="8" spans="1:15" s="4" customFormat="1" ht="40.5" x14ac:dyDescent="0.35">
      <c r="A8" s="1175"/>
      <c r="B8" s="1175"/>
      <c r="C8" s="1176"/>
      <c r="D8" s="1176"/>
      <c r="E8" s="1176"/>
      <c r="F8" s="1176"/>
      <c r="G8" s="109" t="s">
        <v>36</v>
      </c>
      <c r="H8" s="96" t="s">
        <v>39</v>
      </c>
      <c r="I8" s="109" t="s">
        <v>42</v>
      </c>
      <c r="J8" s="1177"/>
      <c r="K8" s="1177"/>
      <c r="L8" s="42" t="s">
        <v>46</v>
      </c>
      <c r="M8" s="96" t="s">
        <v>51</v>
      </c>
      <c r="N8" s="1177"/>
      <c r="O8" s="1177"/>
    </row>
    <row r="9" spans="1:15" ht="51" customHeight="1" x14ac:dyDescent="0.25">
      <c r="A9" s="1045" t="s">
        <v>451</v>
      </c>
      <c r="B9" s="1252"/>
      <c r="C9" s="829" t="s">
        <v>67</v>
      </c>
      <c r="D9" s="1236" t="s">
        <v>452</v>
      </c>
      <c r="E9" s="839" t="s">
        <v>453</v>
      </c>
      <c r="F9" s="839" t="s">
        <v>454</v>
      </c>
      <c r="G9" s="829" t="s">
        <v>34</v>
      </c>
      <c r="H9" s="829"/>
      <c r="I9" s="829"/>
      <c r="J9" s="839" t="s">
        <v>55</v>
      </c>
      <c r="K9" s="1239" t="s">
        <v>455</v>
      </c>
      <c r="L9" s="97" t="s">
        <v>44</v>
      </c>
      <c r="M9" s="132" t="s">
        <v>456</v>
      </c>
      <c r="N9" s="829" t="s">
        <v>228</v>
      </c>
      <c r="O9" s="829" t="s">
        <v>98</v>
      </c>
    </row>
    <row r="10" spans="1:15" ht="51" customHeight="1" x14ac:dyDescent="0.25">
      <c r="A10" s="1045"/>
      <c r="B10" s="1252"/>
      <c r="C10" s="829"/>
      <c r="D10" s="1237"/>
      <c r="E10" s="839"/>
      <c r="F10" s="839"/>
      <c r="G10" s="829"/>
      <c r="H10" s="829"/>
      <c r="I10" s="829"/>
      <c r="J10" s="839"/>
      <c r="K10" s="1240"/>
      <c r="L10" s="97" t="s">
        <v>45</v>
      </c>
      <c r="M10" s="133" t="s">
        <v>457</v>
      </c>
      <c r="N10" s="829"/>
      <c r="O10" s="829"/>
    </row>
    <row r="11" spans="1:15" ht="51" customHeight="1" x14ac:dyDescent="0.25">
      <c r="A11" s="1045"/>
      <c r="B11" s="1252"/>
      <c r="C11" s="829"/>
      <c r="D11" s="1238"/>
      <c r="E11" s="839"/>
      <c r="F11" s="839"/>
      <c r="G11" s="829"/>
      <c r="H11" s="829"/>
      <c r="I11" s="829"/>
      <c r="J11" s="839"/>
      <c r="K11" s="1241"/>
      <c r="L11" s="97" t="s">
        <v>46</v>
      </c>
      <c r="M11" s="134" t="s">
        <v>458</v>
      </c>
      <c r="N11" s="829"/>
      <c r="O11" s="829"/>
    </row>
    <row r="12" spans="1:15" ht="51" customHeight="1" x14ac:dyDescent="0.25">
      <c r="A12" s="1045"/>
      <c r="B12" s="1252"/>
      <c r="C12" s="829" t="s">
        <v>67</v>
      </c>
      <c r="D12" s="1236" t="s">
        <v>459</v>
      </c>
      <c r="E12" s="1171" t="s">
        <v>460</v>
      </c>
      <c r="F12" s="839" t="s">
        <v>461</v>
      </c>
      <c r="G12" s="829" t="s">
        <v>34</v>
      </c>
      <c r="H12" s="829"/>
      <c r="I12" s="829"/>
      <c r="J12" s="839" t="s">
        <v>55</v>
      </c>
      <c r="K12" s="1239" t="s">
        <v>455</v>
      </c>
      <c r="L12" s="97" t="s">
        <v>44</v>
      </c>
      <c r="M12" s="132" t="s">
        <v>456</v>
      </c>
      <c r="N12" s="829" t="s">
        <v>228</v>
      </c>
      <c r="O12" s="829" t="s">
        <v>98</v>
      </c>
    </row>
    <row r="13" spans="1:15" ht="51" customHeight="1" x14ac:dyDescent="0.25">
      <c r="A13" s="1045"/>
      <c r="B13" s="1252"/>
      <c r="C13" s="829"/>
      <c r="D13" s="1237"/>
      <c r="E13" s="1171"/>
      <c r="F13" s="839"/>
      <c r="G13" s="829"/>
      <c r="H13" s="829"/>
      <c r="I13" s="829"/>
      <c r="J13" s="839"/>
      <c r="K13" s="1240"/>
      <c r="L13" s="97" t="s">
        <v>45</v>
      </c>
      <c r="M13" s="133" t="s">
        <v>457</v>
      </c>
      <c r="N13" s="829"/>
      <c r="O13" s="829"/>
    </row>
    <row r="14" spans="1:15" ht="51" customHeight="1" x14ac:dyDescent="0.25">
      <c r="A14" s="1045"/>
      <c r="B14" s="1252"/>
      <c r="C14" s="829"/>
      <c r="D14" s="1238"/>
      <c r="E14" s="1171"/>
      <c r="F14" s="839"/>
      <c r="G14" s="829"/>
      <c r="H14" s="829"/>
      <c r="I14" s="829"/>
      <c r="J14" s="839"/>
      <c r="K14" s="1241"/>
      <c r="L14" s="97" t="s">
        <v>46</v>
      </c>
      <c r="M14" s="134" t="s">
        <v>458</v>
      </c>
      <c r="N14" s="829"/>
      <c r="O14" s="829"/>
    </row>
    <row r="15" spans="1:15" ht="51" customHeight="1" x14ac:dyDescent="0.25">
      <c r="A15" s="1045"/>
      <c r="B15" s="1252"/>
      <c r="C15" s="829" t="s">
        <v>67</v>
      </c>
      <c r="D15" s="1236" t="s">
        <v>742</v>
      </c>
      <c r="E15" s="1171" t="s">
        <v>745</v>
      </c>
      <c r="F15" s="839" t="s">
        <v>461</v>
      </c>
      <c r="G15" s="829" t="s">
        <v>34</v>
      </c>
      <c r="H15" s="829"/>
      <c r="I15" s="829"/>
      <c r="J15" s="839" t="s">
        <v>63</v>
      </c>
      <c r="K15" s="1239" t="s">
        <v>746</v>
      </c>
      <c r="L15" s="97" t="s">
        <v>44</v>
      </c>
      <c r="M15" s="132" t="s">
        <v>747</v>
      </c>
      <c r="N15" s="829" t="s">
        <v>228</v>
      </c>
      <c r="O15" s="829" t="s">
        <v>98</v>
      </c>
    </row>
    <row r="16" spans="1:15" ht="51" customHeight="1" x14ac:dyDescent="0.25">
      <c r="A16" s="1045"/>
      <c r="B16" s="1252"/>
      <c r="C16" s="829"/>
      <c r="D16" s="1237"/>
      <c r="E16" s="1171"/>
      <c r="F16" s="839"/>
      <c r="G16" s="829"/>
      <c r="H16" s="829"/>
      <c r="I16" s="829"/>
      <c r="J16" s="839"/>
      <c r="K16" s="1240"/>
      <c r="L16" s="97" t="s">
        <v>45</v>
      </c>
      <c r="M16" s="133" t="s">
        <v>748</v>
      </c>
      <c r="N16" s="829"/>
      <c r="O16" s="829"/>
    </row>
    <row r="17" spans="1:15" ht="51" customHeight="1" x14ac:dyDescent="0.25">
      <c r="A17" s="1045"/>
      <c r="B17" s="1252"/>
      <c r="C17" s="829"/>
      <c r="D17" s="1238"/>
      <c r="E17" s="1171"/>
      <c r="F17" s="839"/>
      <c r="G17" s="829"/>
      <c r="H17" s="829"/>
      <c r="I17" s="829"/>
      <c r="J17" s="839"/>
      <c r="K17" s="1241"/>
      <c r="L17" s="97" t="s">
        <v>46</v>
      </c>
      <c r="M17" s="134" t="s">
        <v>749</v>
      </c>
      <c r="N17" s="829"/>
      <c r="O17" s="829"/>
    </row>
    <row r="18" spans="1:15" ht="101.25" customHeight="1" x14ac:dyDescent="0.25">
      <c r="A18" s="1045"/>
      <c r="B18" s="1045"/>
      <c r="C18" s="829" t="s">
        <v>67</v>
      </c>
      <c r="D18" s="1046" t="s">
        <v>738</v>
      </c>
      <c r="E18" s="839" t="s">
        <v>744</v>
      </c>
      <c r="F18" s="1049" t="s">
        <v>462</v>
      </c>
      <c r="G18" s="829" t="s">
        <v>34</v>
      </c>
      <c r="H18" s="829"/>
      <c r="I18" s="829"/>
      <c r="J18" s="1049" t="s">
        <v>63</v>
      </c>
      <c r="K18" s="848" t="s">
        <v>463</v>
      </c>
      <c r="L18" s="22" t="s">
        <v>44</v>
      </c>
      <c r="M18" s="240" t="s">
        <v>464</v>
      </c>
      <c r="N18" s="829" t="s">
        <v>228</v>
      </c>
      <c r="O18" s="829" t="s">
        <v>172</v>
      </c>
    </row>
    <row r="19" spans="1:15" ht="101.25" customHeight="1" x14ac:dyDescent="0.25">
      <c r="A19" s="1045"/>
      <c r="B19" s="1045"/>
      <c r="C19" s="829"/>
      <c r="D19" s="1048"/>
      <c r="E19" s="839"/>
      <c r="F19" s="1051"/>
      <c r="G19" s="829"/>
      <c r="H19" s="829"/>
      <c r="I19" s="829"/>
      <c r="J19" s="1051"/>
      <c r="K19" s="850"/>
      <c r="L19" s="50" t="s">
        <v>46</v>
      </c>
      <c r="M19" s="241" t="s">
        <v>465</v>
      </c>
      <c r="N19" s="829"/>
      <c r="O19" s="829"/>
    </row>
    <row r="20" spans="1:15" ht="63" customHeight="1" x14ac:dyDescent="0.25">
      <c r="A20" s="1045"/>
      <c r="B20" s="1045"/>
      <c r="C20" s="829" t="s">
        <v>67</v>
      </c>
      <c r="D20" s="1046" t="s">
        <v>741</v>
      </c>
      <c r="E20" s="852" t="s">
        <v>750</v>
      </c>
      <c r="F20" s="852" t="s">
        <v>751</v>
      </c>
      <c r="G20" s="829" t="s">
        <v>34</v>
      </c>
      <c r="H20" s="829"/>
      <c r="I20" s="829"/>
      <c r="J20" s="852" t="s">
        <v>63</v>
      </c>
      <c r="K20" s="1049" t="s">
        <v>752</v>
      </c>
      <c r="L20" s="97" t="s">
        <v>44</v>
      </c>
      <c r="M20" s="209" t="s">
        <v>753</v>
      </c>
      <c r="N20" s="829" t="s">
        <v>228</v>
      </c>
      <c r="O20" s="829" t="s">
        <v>98</v>
      </c>
    </row>
    <row r="21" spans="1:15" ht="63" customHeight="1" x14ac:dyDescent="0.25">
      <c r="A21" s="1045"/>
      <c r="B21" s="1045"/>
      <c r="C21" s="829"/>
      <c r="D21" s="1048"/>
      <c r="E21" s="852"/>
      <c r="F21" s="852"/>
      <c r="G21" s="829"/>
      <c r="H21" s="829"/>
      <c r="I21" s="829"/>
      <c r="J21" s="852"/>
      <c r="K21" s="1051"/>
      <c r="L21" s="97" t="s">
        <v>46</v>
      </c>
      <c r="M21" s="242" t="s">
        <v>754</v>
      </c>
      <c r="N21" s="829"/>
      <c r="O21" s="829"/>
    </row>
    <row r="22" spans="1:15" x14ac:dyDescent="0.25">
      <c r="A22" s="3"/>
      <c r="B22" s="3"/>
    </row>
    <row r="23" spans="1:15" ht="32.25" customHeight="1" x14ac:dyDescent="0.25">
      <c r="A23" s="1154" t="str">
        <f>+D9</f>
        <v>PORCENTAJE (%) DE INCREMENTO DE CARTERA RECUPERADA ENTRE VIGENCIAS.</v>
      </c>
      <c r="B23" s="1155"/>
      <c r="C23" s="1155"/>
      <c r="D23" s="1155"/>
      <c r="E23" s="1155"/>
      <c r="F23" s="1155"/>
      <c r="G23" s="1155"/>
      <c r="H23" s="1155"/>
      <c r="I23" s="1155"/>
      <c r="J23" s="1155"/>
      <c r="K23" s="1155"/>
      <c r="L23" s="1155"/>
      <c r="M23" s="1155"/>
      <c r="N23" s="1155"/>
      <c r="O23" s="1156"/>
    </row>
    <row r="24" spans="1:15" x14ac:dyDescent="0.25">
      <c r="A24" s="5"/>
    </row>
    <row r="25" spans="1:15" ht="23" x14ac:dyDescent="0.45">
      <c r="A25" s="26"/>
      <c r="G25" s="31">
        <v>2010</v>
      </c>
      <c r="H25" s="31">
        <v>2011</v>
      </c>
      <c r="I25" s="31">
        <v>2012</v>
      </c>
      <c r="J25" s="31">
        <v>2013</v>
      </c>
      <c r="K25" s="31">
        <v>2014</v>
      </c>
      <c r="L25" s="31">
        <v>2015</v>
      </c>
    </row>
    <row r="26" spans="1:15" ht="22.5" customHeight="1" x14ac:dyDescent="0.45">
      <c r="A26" s="856" t="s">
        <v>466</v>
      </c>
      <c r="B26" s="857"/>
      <c r="C26" s="857"/>
      <c r="D26" s="857"/>
      <c r="E26" s="857"/>
      <c r="F26" s="857"/>
      <c r="G26" s="32">
        <v>0.33</v>
      </c>
      <c r="H26" s="32">
        <v>0.05</v>
      </c>
      <c r="I26" s="32">
        <v>-0.47</v>
      </c>
      <c r="J26" s="32">
        <v>0.12</v>
      </c>
      <c r="K26" s="156">
        <f>+K39</f>
        <v>0.18179586314500834</v>
      </c>
      <c r="L26" s="191">
        <f>+K44</f>
        <v>-0.15837266940443898</v>
      </c>
    </row>
    <row r="27" spans="1:15" ht="23" x14ac:dyDescent="0.45">
      <c r="A27" s="856" t="s">
        <v>76</v>
      </c>
      <c r="B27" s="857"/>
      <c r="C27" s="857"/>
      <c r="D27" s="857"/>
      <c r="E27" s="857"/>
      <c r="F27" s="857"/>
      <c r="G27" s="32">
        <v>0.1</v>
      </c>
      <c r="H27" s="32">
        <v>0.1</v>
      </c>
      <c r="I27" s="32">
        <v>0.1</v>
      </c>
      <c r="J27" s="32">
        <v>0.1</v>
      </c>
      <c r="K27" s="32">
        <v>0.1</v>
      </c>
      <c r="L27" s="32">
        <v>0.1</v>
      </c>
    </row>
    <row r="28" spans="1:15" x14ac:dyDescent="0.25">
      <c r="A28" s="5"/>
    </row>
    <row r="29" spans="1:15" ht="17.5" x14ac:dyDescent="0.25">
      <c r="A29" s="5"/>
      <c r="B29" s="28"/>
      <c r="C29" s="28"/>
      <c r="D29" s="28"/>
      <c r="G29" s="1165" t="s">
        <v>77</v>
      </c>
      <c r="H29" s="1165"/>
      <c r="I29" s="1165" t="s">
        <v>78</v>
      </c>
      <c r="J29" s="1165"/>
      <c r="K29" s="1165"/>
      <c r="L29" s="1165" t="s">
        <v>79</v>
      </c>
      <c r="M29" s="1165"/>
      <c r="N29" s="1165"/>
      <c r="O29" s="1165"/>
    </row>
    <row r="30" spans="1:15" ht="122.5" x14ac:dyDescent="0.25">
      <c r="A30" s="5"/>
      <c r="G30" s="1165"/>
      <c r="H30" s="1165"/>
      <c r="I30" s="135" t="s">
        <v>467</v>
      </c>
      <c r="J30" s="135" t="s">
        <v>468</v>
      </c>
      <c r="K30" s="135" t="s">
        <v>469</v>
      </c>
      <c r="L30" s="1165"/>
      <c r="M30" s="1165"/>
      <c r="N30" s="1165"/>
      <c r="O30" s="1165"/>
    </row>
    <row r="31" spans="1:15" ht="137.25" customHeight="1" x14ac:dyDescent="0.35">
      <c r="B31" s="29"/>
      <c r="C31" s="30"/>
      <c r="D31" s="30"/>
      <c r="G31" s="1266">
        <v>2010</v>
      </c>
      <c r="H31" s="1266"/>
      <c r="I31" s="136">
        <f>1632293222-1226787955</f>
        <v>405505267</v>
      </c>
      <c r="J31" s="136">
        <v>1226787955</v>
      </c>
      <c r="K31" s="44">
        <f t="shared" ref="K31:K39" si="0">+I31/J31</f>
        <v>0.33054226310854185</v>
      </c>
      <c r="L31" s="1267" t="s">
        <v>470</v>
      </c>
      <c r="M31" s="1037"/>
      <c r="N31" s="1037"/>
      <c r="O31" s="1037"/>
    </row>
    <row r="32" spans="1:15" ht="69.75" customHeight="1" x14ac:dyDescent="0.35">
      <c r="B32" s="29"/>
      <c r="C32" s="30"/>
      <c r="D32" s="30"/>
      <c r="G32" s="1266">
        <v>2011</v>
      </c>
      <c r="H32" s="1266"/>
      <c r="I32" s="136">
        <f>1720148461-1632293222</f>
        <v>87855239</v>
      </c>
      <c r="J32" s="136">
        <v>1632293222</v>
      </c>
      <c r="K32" s="44">
        <f t="shared" si="0"/>
        <v>5.3823196602111482E-2</v>
      </c>
      <c r="L32" s="1268" t="s">
        <v>471</v>
      </c>
      <c r="M32" s="1037"/>
      <c r="N32" s="1037"/>
      <c r="O32" s="1037"/>
    </row>
    <row r="33" spans="1:15" ht="108" customHeight="1" x14ac:dyDescent="0.35">
      <c r="B33" s="29"/>
      <c r="C33" s="30"/>
      <c r="D33" s="30"/>
      <c r="G33" s="1266">
        <v>2012</v>
      </c>
      <c r="H33" s="1266"/>
      <c r="I33" s="136">
        <f>917884056-1720148461</f>
        <v>-802264405</v>
      </c>
      <c r="J33" s="136">
        <v>1720148461</v>
      </c>
      <c r="K33" s="44">
        <f t="shared" si="0"/>
        <v>-0.46639253714973383</v>
      </c>
      <c r="L33" s="1267" t="s">
        <v>472</v>
      </c>
      <c r="M33" s="1037"/>
      <c r="N33" s="1037"/>
      <c r="O33" s="1037"/>
    </row>
    <row r="34" spans="1:15" ht="57.75" customHeight="1" x14ac:dyDescent="0.35">
      <c r="B34" s="29"/>
      <c r="C34" s="30"/>
      <c r="D34" s="30"/>
      <c r="G34" s="1266">
        <v>2013</v>
      </c>
      <c r="H34" s="1266"/>
      <c r="I34" s="136">
        <v>114524840</v>
      </c>
      <c r="J34" s="136">
        <v>917884056</v>
      </c>
      <c r="K34" s="44">
        <f t="shared" si="0"/>
        <v>0.12477048626280965</v>
      </c>
      <c r="L34" s="1267" t="s">
        <v>473</v>
      </c>
      <c r="M34" s="1037"/>
      <c r="N34" s="1037"/>
      <c r="O34" s="1037"/>
    </row>
    <row r="35" spans="1:15" ht="26.25" customHeight="1" x14ac:dyDescent="0.3">
      <c r="B35" s="29"/>
      <c r="C35" s="30"/>
      <c r="D35" s="30"/>
      <c r="G35" s="1266">
        <v>2014</v>
      </c>
      <c r="H35" s="45" t="s">
        <v>212</v>
      </c>
      <c r="I35" s="136">
        <f>386809492-325735861</f>
        <v>61073631</v>
      </c>
      <c r="J35" s="136">
        <v>325735861</v>
      </c>
      <c r="K35" s="44">
        <f t="shared" si="0"/>
        <v>0.18749434223332259</v>
      </c>
      <c r="L35" s="1284" t="s">
        <v>660</v>
      </c>
      <c r="M35" s="1284"/>
      <c r="N35" s="1284"/>
      <c r="O35" s="1284"/>
    </row>
    <row r="36" spans="1:15" ht="26.25" customHeight="1" x14ac:dyDescent="0.3">
      <c r="B36" s="29"/>
      <c r="C36" s="30"/>
      <c r="D36" s="30"/>
      <c r="G36" s="1266"/>
      <c r="H36" s="45" t="s">
        <v>213</v>
      </c>
      <c r="I36" s="136">
        <f>222605929-J36</f>
        <v>2148971</v>
      </c>
      <c r="J36" s="136">
        <f>546192819-J35</f>
        <v>220456958</v>
      </c>
      <c r="K36" s="44">
        <f t="shared" si="0"/>
        <v>9.7478030155891023E-3</v>
      </c>
      <c r="L36" s="1284"/>
      <c r="M36" s="1284"/>
      <c r="N36" s="1284"/>
      <c r="O36" s="1284"/>
    </row>
    <row r="37" spans="1:15" ht="26.25" customHeight="1" x14ac:dyDescent="0.3">
      <c r="B37" s="29"/>
      <c r="C37" s="30"/>
      <c r="D37" s="30"/>
      <c r="G37" s="1266"/>
      <c r="H37" s="45" t="s">
        <v>214</v>
      </c>
      <c r="I37" s="136">
        <f>311154141-J37</f>
        <v>166485666</v>
      </c>
      <c r="J37" s="136">
        <f>690861294-546192819</f>
        <v>144668475</v>
      </c>
      <c r="K37" s="44">
        <f t="shared" si="0"/>
        <v>1.1508081909344796</v>
      </c>
      <c r="L37" s="1284"/>
      <c r="M37" s="1284"/>
      <c r="N37" s="1284"/>
      <c r="O37" s="1284"/>
    </row>
    <row r="38" spans="1:15" ht="26.25" customHeight="1" x14ac:dyDescent="0.3">
      <c r="B38" s="29"/>
      <c r="C38" s="30"/>
      <c r="D38" s="30"/>
      <c r="G38" s="1266"/>
      <c r="H38" s="45" t="s">
        <v>215</v>
      </c>
      <c r="I38" s="136">
        <f>299517546-J38</f>
        <v>-42022056</v>
      </c>
      <c r="J38" s="136">
        <v>341539602</v>
      </c>
      <c r="K38" s="44">
        <f t="shared" si="0"/>
        <v>-0.1230371405070619</v>
      </c>
      <c r="L38" s="1284"/>
      <c r="M38" s="1284"/>
      <c r="N38" s="1284"/>
      <c r="O38" s="1284"/>
    </row>
    <row r="39" spans="1:15" ht="26.25" customHeight="1" x14ac:dyDescent="0.3">
      <c r="B39" s="29"/>
      <c r="C39" s="30"/>
      <c r="D39" s="30"/>
      <c r="G39" s="1266"/>
      <c r="H39" s="45" t="s">
        <v>81</v>
      </c>
      <c r="I39" s="136">
        <f>SUM(I35:I38)</f>
        <v>187686212</v>
      </c>
      <c r="J39" s="136">
        <f>SUM(J35:J38)</f>
        <v>1032400896</v>
      </c>
      <c r="K39" s="44">
        <f t="shared" si="0"/>
        <v>0.18179586314500834</v>
      </c>
      <c r="L39" s="1284"/>
      <c r="M39" s="1284"/>
      <c r="N39" s="1284"/>
      <c r="O39" s="1284"/>
    </row>
    <row r="40" spans="1:15" ht="26.25" customHeight="1" x14ac:dyDescent="0.3">
      <c r="B40" s="29"/>
      <c r="C40" s="30"/>
      <c r="D40" s="30"/>
      <c r="G40" s="1266">
        <v>2015</v>
      </c>
      <c r="H40" s="45" t="s">
        <v>212</v>
      </c>
      <c r="I40" s="136">
        <f>275869580-J40</f>
        <v>-110939912</v>
      </c>
      <c r="J40" s="136">
        <v>386809492</v>
      </c>
      <c r="K40" s="44">
        <f>+I40/J40</f>
        <v>-0.2868076257032493</v>
      </c>
      <c r="L40" s="1284" t="s">
        <v>765</v>
      </c>
      <c r="M40" s="1284"/>
      <c r="N40" s="1284"/>
      <c r="O40" s="1284"/>
    </row>
    <row r="41" spans="1:15" ht="26.25" customHeight="1" x14ac:dyDescent="0.3">
      <c r="B41" s="29"/>
      <c r="C41" s="30"/>
      <c r="D41" s="30"/>
      <c r="G41" s="1266"/>
      <c r="H41" s="45" t="s">
        <v>213</v>
      </c>
      <c r="I41" s="136">
        <f>237031094-J41</f>
        <v>14425165</v>
      </c>
      <c r="J41" s="136">
        <v>222605929</v>
      </c>
      <c r="K41" s="44">
        <f>+I41/J41</f>
        <v>6.4801351270387775E-2</v>
      </c>
      <c r="L41" s="1284"/>
      <c r="M41" s="1284"/>
      <c r="N41" s="1284"/>
      <c r="O41" s="1284"/>
    </row>
    <row r="42" spans="1:15" ht="26.25" customHeight="1" x14ac:dyDescent="0.3">
      <c r="B42" s="29"/>
      <c r="C42" s="30"/>
      <c r="D42" s="30"/>
      <c r="G42" s="1266"/>
      <c r="H42" s="45" t="s">
        <v>214</v>
      </c>
      <c r="I42" s="136"/>
      <c r="J42" s="136"/>
      <c r="K42" s="44" t="e">
        <f>+I42/J42</f>
        <v>#DIV/0!</v>
      </c>
      <c r="L42" s="1284"/>
      <c r="M42" s="1284"/>
      <c r="N42" s="1284"/>
      <c r="O42" s="1284"/>
    </row>
    <row r="43" spans="1:15" ht="26.25" customHeight="1" x14ac:dyDescent="0.3">
      <c r="B43" s="29"/>
      <c r="C43" s="30"/>
      <c r="D43" s="30"/>
      <c r="G43" s="1266"/>
      <c r="H43" s="45" t="s">
        <v>215</v>
      </c>
      <c r="I43" s="136"/>
      <c r="J43" s="136"/>
      <c r="K43" s="44" t="e">
        <f>+I43/J43</f>
        <v>#DIV/0!</v>
      </c>
      <c r="L43" s="1284"/>
      <c r="M43" s="1284"/>
      <c r="N43" s="1284"/>
      <c r="O43" s="1284"/>
    </row>
    <row r="44" spans="1:15" ht="17.5" x14ac:dyDescent="0.3">
      <c r="B44" s="29"/>
      <c r="C44" s="30"/>
      <c r="D44" s="30"/>
      <c r="G44" s="1266"/>
      <c r="H44" s="45" t="s">
        <v>81</v>
      </c>
      <c r="I44" s="136">
        <f>SUM(I40:I43)</f>
        <v>-96514747</v>
      </c>
      <c r="J44" s="136">
        <f>SUM(J40:J43)</f>
        <v>609415421</v>
      </c>
      <c r="K44" s="44">
        <f>+I44/J44</f>
        <v>-0.15837266940443898</v>
      </c>
      <c r="L44" s="1284"/>
      <c r="M44" s="1284"/>
      <c r="N44" s="1284"/>
      <c r="O44" s="1284"/>
    </row>
    <row r="47" spans="1:15" ht="20" x14ac:dyDescent="0.25">
      <c r="A47" s="1154" t="str">
        <f>+D12</f>
        <v xml:space="preserve">PORCENTAJE (%) DE INCREMENTO DE INGRESOS POR SOBRETASA AMBIENTAL  ENTRE VIGENCIAS. </v>
      </c>
      <c r="B47" s="1155"/>
      <c r="C47" s="1155"/>
      <c r="D47" s="1155"/>
      <c r="E47" s="1155"/>
      <c r="F47" s="1155"/>
      <c r="G47" s="1155"/>
      <c r="H47" s="1155"/>
      <c r="I47" s="1155"/>
      <c r="J47" s="1155"/>
      <c r="K47" s="1155"/>
      <c r="L47" s="1155"/>
      <c r="M47" s="1155"/>
      <c r="N47" s="1155"/>
      <c r="O47" s="1156"/>
    </row>
    <row r="48" spans="1:15" x14ac:dyDescent="0.25">
      <c r="A48" s="5"/>
    </row>
    <row r="49" spans="1:15" ht="23" x14ac:dyDescent="0.25">
      <c r="A49" s="26"/>
      <c r="G49" s="39">
        <v>2012</v>
      </c>
      <c r="H49" s="39">
        <v>2013</v>
      </c>
      <c r="I49" s="39">
        <v>2014</v>
      </c>
      <c r="J49" s="39">
        <v>2015</v>
      </c>
    </row>
    <row r="50" spans="1:15" ht="23" x14ac:dyDescent="0.25">
      <c r="A50" s="856" t="s">
        <v>474</v>
      </c>
      <c r="B50" s="857"/>
      <c r="C50" s="857"/>
      <c r="D50" s="857"/>
      <c r="E50" s="857"/>
      <c r="F50" s="857"/>
      <c r="G50" s="27">
        <v>0.42</v>
      </c>
      <c r="H50" s="27">
        <v>-0.02</v>
      </c>
      <c r="I50" s="27">
        <f>+K61</f>
        <v>0.30283658480772591</v>
      </c>
      <c r="J50" s="149">
        <f>+K66</f>
        <v>-7.6754228710622678E-3</v>
      </c>
    </row>
    <row r="51" spans="1:15" ht="23" x14ac:dyDescent="0.25">
      <c r="A51" s="856" t="s">
        <v>76</v>
      </c>
      <c r="B51" s="857"/>
      <c r="C51" s="857"/>
      <c r="D51" s="857"/>
      <c r="E51" s="857"/>
      <c r="F51" s="857"/>
      <c r="G51" s="27">
        <v>0.1</v>
      </c>
      <c r="H51" s="27">
        <v>0.1</v>
      </c>
      <c r="I51" s="27">
        <v>0.1</v>
      </c>
      <c r="J51" s="27">
        <v>0.1</v>
      </c>
    </row>
    <row r="52" spans="1:15" x14ac:dyDescent="0.25">
      <c r="A52" s="5"/>
    </row>
    <row r="53" spans="1:15" ht="17.5" x14ac:dyDescent="0.25">
      <c r="A53" s="5"/>
      <c r="B53" s="28"/>
      <c r="C53" s="28"/>
      <c r="D53" s="28"/>
      <c r="G53" s="1165" t="s">
        <v>77</v>
      </c>
      <c r="H53" s="1165"/>
      <c r="I53" s="1165" t="s">
        <v>78</v>
      </c>
      <c r="J53" s="1165"/>
      <c r="K53" s="1165"/>
      <c r="L53" s="1165" t="s">
        <v>79</v>
      </c>
      <c r="M53" s="1165"/>
      <c r="N53" s="1165"/>
      <c r="O53" s="1165"/>
    </row>
    <row r="54" spans="1:15" ht="175" x14ac:dyDescent="0.25">
      <c r="A54" s="5"/>
      <c r="G54" s="1165"/>
      <c r="H54" s="1165"/>
      <c r="I54" s="135" t="s">
        <v>475</v>
      </c>
      <c r="J54" s="135" t="s">
        <v>476</v>
      </c>
      <c r="K54" s="135" t="s">
        <v>477</v>
      </c>
      <c r="L54" s="1165"/>
      <c r="M54" s="1165"/>
      <c r="N54" s="1165"/>
      <c r="O54" s="1165"/>
    </row>
    <row r="55" spans="1:15" ht="48" customHeight="1" x14ac:dyDescent="0.3">
      <c r="B55" s="29"/>
      <c r="C55" s="30"/>
      <c r="D55" s="30"/>
      <c r="G55" s="1266">
        <v>2012</v>
      </c>
      <c r="H55" s="1266"/>
      <c r="I55" s="136">
        <v>637893310</v>
      </c>
      <c r="J55" s="136">
        <v>1536117259</v>
      </c>
      <c r="K55" s="44">
        <f t="shared" ref="K55:K61" si="1">+I55/J55</f>
        <v>0.41526342228279073</v>
      </c>
      <c r="L55" s="1268" t="s">
        <v>478</v>
      </c>
      <c r="M55" s="1286"/>
      <c r="N55" s="1286"/>
      <c r="O55" s="1286"/>
    </row>
    <row r="56" spans="1:15" ht="113.25" customHeight="1" x14ac:dyDescent="0.3">
      <c r="B56" s="29"/>
      <c r="C56" s="30"/>
      <c r="D56" s="30"/>
      <c r="G56" s="1266">
        <v>2013</v>
      </c>
      <c r="H56" s="1266"/>
      <c r="I56" s="136">
        <v>-33238175</v>
      </c>
      <c r="J56" s="136">
        <v>2174010478</v>
      </c>
      <c r="K56" s="44">
        <f t="shared" si="1"/>
        <v>-1.528887525444576E-2</v>
      </c>
      <c r="L56" s="1287" t="s">
        <v>479</v>
      </c>
      <c r="M56" s="1288"/>
      <c r="N56" s="1288"/>
      <c r="O56" s="1288"/>
    </row>
    <row r="57" spans="1:15" ht="24.75" customHeight="1" x14ac:dyDescent="0.3">
      <c r="B57" s="29"/>
      <c r="C57" s="30"/>
      <c r="D57" s="30"/>
      <c r="G57" s="1266">
        <v>2014</v>
      </c>
      <c r="H57" s="45" t="s">
        <v>212</v>
      </c>
      <c r="I57" s="136">
        <f>359023431-J57</f>
        <v>-46551937</v>
      </c>
      <c r="J57" s="136">
        <v>405575368</v>
      </c>
      <c r="K57" s="44">
        <f t="shared" si="1"/>
        <v>-0.11477999078089969</v>
      </c>
      <c r="L57" s="1284" t="s">
        <v>661</v>
      </c>
      <c r="M57" s="1284"/>
      <c r="N57" s="1284"/>
      <c r="O57" s="1284"/>
    </row>
    <row r="58" spans="1:15" ht="24.75" customHeight="1" x14ac:dyDescent="0.3">
      <c r="B58" s="29"/>
      <c r="C58" s="30"/>
      <c r="D58" s="30"/>
      <c r="G58" s="1266"/>
      <c r="H58" s="45" t="s">
        <v>213</v>
      </c>
      <c r="I58" s="136">
        <f>1110897144-J58</f>
        <v>387064385</v>
      </c>
      <c r="J58" s="136">
        <f>1129408127-J57</f>
        <v>723832759</v>
      </c>
      <c r="K58" s="44">
        <f t="shared" si="1"/>
        <v>0.53474283967852299</v>
      </c>
      <c r="L58" s="1284"/>
      <c r="M58" s="1284"/>
      <c r="N58" s="1284"/>
      <c r="O58" s="1284"/>
    </row>
    <row r="59" spans="1:15" ht="24.75" customHeight="1" x14ac:dyDescent="0.3">
      <c r="B59" s="29"/>
      <c r="C59" s="30"/>
      <c r="D59" s="30"/>
      <c r="G59" s="1266"/>
      <c r="H59" s="45" t="s">
        <v>214</v>
      </c>
      <c r="I59" s="136">
        <f>555581994-J59</f>
        <v>255077746</v>
      </c>
      <c r="J59" s="136">
        <f>1429912375-J58-J57</f>
        <v>300504248</v>
      </c>
      <c r="K59" s="44">
        <f t="shared" si="1"/>
        <v>0.84883241317773317</v>
      </c>
      <c r="L59" s="1284"/>
      <c r="M59" s="1284"/>
      <c r="N59" s="1284"/>
      <c r="O59" s="1284"/>
    </row>
    <row r="60" spans="1:15" ht="24.75" customHeight="1" x14ac:dyDescent="0.3">
      <c r="B60" s="29"/>
      <c r="C60" s="30"/>
      <c r="D60" s="30"/>
      <c r="G60" s="1266"/>
      <c r="H60" s="45" t="s">
        <v>215</v>
      </c>
      <c r="I60" s="136">
        <f>763573911-J60</f>
        <v>52713980</v>
      </c>
      <c r="J60" s="136">
        <v>710859931</v>
      </c>
      <c r="K60" s="44">
        <f t="shared" si="1"/>
        <v>7.4155227635133089E-2</v>
      </c>
      <c r="L60" s="1284"/>
      <c r="M60" s="1284"/>
      <c r="N60" s="1284"/>
      <c r="O60" s="1284"/>
    </row>
    <row r="61" spans="1:15" ht="24.75" customHeight="1" x14ac:dyDescent="0.3">
      <c r="B61" s="29"/>
      <c r="C61" s="30"/>
      <c r="D61" s="30"/>
      <c r="G61" s="1266"/>
      <c r="H61" s="45" t="s">
        <v>81</v>
      </c>
      <c r="I61" s="249">
        <f>SUM(I57:I60)</f>
        <v>648304174</v>
      </c>
      <c r="J61" s="249">
        <f>SUM(J57:J60)</f>
        <v>2140772306</v>
      </c>
      <c r="K61" s="208">
        <f t="shared" si="1"/>
        <v>0.30283658480772591</v>
      </c>
      <c r="L61" s="1284"/>
      <c r="M61" s="1284"/>
      <c r="N61" s="1284"/>
      <c r="O61" s="1284"/>
    </row>
    <row r="62" spans="1:15" ht="24.75" customHeight="1" x14ac:dyDescent="0.3">
      <c r="B62" s="29"/>
      <c r="C62" s="30"/>
      <c r="D62" s="30"/>
      <c r="G62" s="1266">
        <v>2015</v>
      </c>
      <c r="H62" s="45" t="s">
        <v>212</v>
      </c>
      <c r="I62" s="136">
        <f>545711101-J62</f>
        <v>186687670</v>
      </c>
      <c r="J62" s="136">
        <v>359023431</v>
      </c>
      <c r="K62" s="44">
        <f>+I62/J62</f>
        <v>0.51998742667021081</v>
      </c>
      <c r="L62" s="1284" t="s">
        <v>766</v>
      </c>
      <c r="M62" s="1284"/>
      <c r="N62" s="1284"/>
      <c r="O62" s="1284"/>
    </row>
    <row r="63" spans="1:15" ht="24.75" customHeight="1" x14ac:dyDescent="0.3">
      <c r="B63" s="29"/>
      <c r="C63" s="30"/>
      <c r="D63" s="30"/>
      <c r="G63" s="1266"/>
      <c r="H63" s="45" t="s">
        <v>213</v>
      </c>
      <c r="I63" s="136">
        <f>912927212-J63</f>
        <v>-197969932</v>
      </c>
      <c r="J63" s="136">
        <v>1110897144</v>
      </c>
      <c r="K63" s="44">
        <f>+I63/J63</f>
        <v>-0.17820725624261755</v>
      </c>
      <c r="L63" s="1284"/>
      <c r="M63" s="1284"/>
      <c r="N63" s="1284"/>
      <c r="O63" s="1284"/>
    </row>
    <row r="64" spans="1:15" ht="24.75" customHeight="1" x14ac:dyDescent="0.3">
      <c r="B64" s="29"/>
      <c r="C64" s="30"/>
      <c r="D64" s="30"/>
      <c r="G64" s="1266"/>
      <c r="H64" s="45" t="s">
        <v>214</v>
      </c>
      <c r="I64" s="136"/>
      <c r="J64" s="136"/>
      <c r="K64" s="44" t="e">
        <f>+I64/J64</f>
        <v>#DIV/0!</v>
      </c>
      <c r="L64" s="1284"/>
      <c r="M64" s="1284"/>
      <c r="N64" s="1284"/>
      <c r="O64" s="1284"/>
    </row>
    <row r="65" spans="1:15" ht="24.75" customHeight="1" x14ac:dyDescent="0.3">
      <c r="B65" s="29"/>
      <c r="C65" s="30"/>
      <c r="D65" s="30"/>
      <c r="G65" s="1266"/>
      <c r="H65" s="45" t="s">
        <v>215</v>
      </c>
      <c r="I65" s="136"/>
      <c r="J65" s="136"/>
      <c r="K65" s="44" t="e">
        <f>+I65/J65</f>
        <v>#DIV/0!</v>
      </c>
      <c r="L65" s="1284"/>
      <c r="M65" s="1284"/>
      <c r="N65" s="1284"/>
      <c r="O65" s="1284"/>
    </row>
    <row r="66" spans="1:15" ht="24.75" customHeight="1" x14ac:dyDescent="0.3">
      <c r="B66" s="29"/>
      <c r="C66" s="30"/>
      <c r="D66" s="30"/>
      <c r="G66" s="1266"/>
      <c r="H66" s="45" t="s">
        <v>81</v>
      </c>
      <c r="I66" s="249">
        <f>SUM(I62:I65)</f>
        <v>-11282262</v>
      </c>
      <c r="J66" s="249">
        <f>SUM(J62:J65)</f>
        <v>1469920575</v>
      </c>
      <c r="K66" s="250">
        <f>+I66/J66</f>
        <v>-7.6754228710622678E-3</v>
      </c>
      <c r="L66" s="1284"/>
      <c r="M66" s="1284"/>
      <c r="N66" s="1284"/>
      <c r="O66" s="1284"/>
    </row>
    <row r="67" spans="1:15" ht="20.25" customHeight="1" x14ac:dyDescent="0.25">
      <c r="A67" s="1154" t="str">
        <f>+'Hoja 11. TABLA DE CONTROL'!B60</f>
        <v>PORCENTAJE (%) DE INCREMENTO DE CARTERA RECUPERADA Y  DE INGRESOS POR SOBRETASA, TASA Y MULTAS ENTRE VIGENCIAS.</v>
      </c>
      <c r="B67" s="1155"/>
      <c r="C67" s="1155"/>
      <c r="D67" s="1155"/>
      <c r="E67" s="1155"/>
      <c r="F67" s="1155"/>
      <c r="G67" s="1155"/>
      <c r="H67" s="1155"/>
      <c r="I67" s="1155"/>
      <c r="J67" s="1155"/>
      <c r="K67" s="1155"/>
      <c r="L67" s="1155"/>
      <c r="M67" s="1155"/>
      <c r="N67" s="1155"/>
      <c r="O67" s="1156"/>
    </row>
    <row r="68" spans="1:15" ht="14.25" customHeight="1" x14ac:dyDescent="0.25">
      <c r="A68" s="212" t="s">
        <v>76</v>
      </c>
      <c r="B68" s="212" t="s">
        <v>95</v>
      </c>
      <c r="C68" s="1290" t="s">
        <v>78</v>
      </c>
      <c r="D68" s="1291"/>
      <c r="E68" s="1291"/>
      <c r="F68" s="1291"/>
      <c r="G68" s="1292"/>
      <c r="H68" s="1290" t="s">
        <v>79</v>
      </c>
      <c r="I68" s="1291"/>
      <c r="J68" s="1291"/>
      <c r="K68" s="1291"/>
      <c r="L68" s="1291"/>
      <c r="M68" s="1291"/>
      <c r="N68" s="1291"/>
      <c r="O68" s="1292"/>
    </row>
    <row r="69" spans="1:15" ht="174" customHeight="1" x14ac:dyDescent="0.25">
      <c r="A69" s="46" t="s">
        <v>739</v>
      </c>
      <c r="B69" s="174">
        <v>0</v>
      </c>
      <c r="C69" s="997" t="s">
        <v>759</v>
      </c>
      <c r="D69" s="1289"/>
      <c r="E69" s="1289"/>
      <c r="F69" s="1289"/>
      <c r="G69" s="1289"/>
      <c r="H69" s="998" t="s">
        <v>760</v>
      </c>
      <c r="I69" s="998"/>
      <c r="J69" s="998"/>
      <c r="K69" s="998"/>
      <c r="L69" s="998"/>
      <c r="M69" s="998"/>
      <c r="N69" s="998"/>
      <c r="O69" s="998"/>
    </row>
    <row r="71" spans="1:15" ht="20.25" customHeight="1" x14ac:dyDescent="0.25">
      <c r="A71" s="1154" t="str">
        <f>+'Hoja 11. TABLA DE CONTROL'!B61</f>
        <v xml:space="preserve">N° DE EVENTOS DE CAPACITACIÓN Y/O REINDUCCIÓN </v>
      </c>
      <c r="B71" s="1155"/>
      <c r="C71" s="1155"/>
      <c r="D71" s="1155"/>
      <c r="E71" s="1155"/>
      <c r="F71" s="1155"/>
      <c r="G71" s="1155"/>
      <c r="H71" s="1155"/>
      <c r="I71" s="1155"/>
      <c r="J71" s="1155"/>
      <c r="K71" s="1155"/>
      <c r="L71" s="1155"/>
      <c r="M71" s="1155"/>
      <c r="N71" s="1155"/>
      <c r="O71" s="1156"/>
    </row>
    <row r="72" spans="1:15" ht="14.25" customHeight="1" x14ac:dyDescent="0.25">
      <c r="A72" s="213" t="s">
        <v>76</v>
      </c>
      <c r="B72" s="212" t="s">
        <v>95</v>
      </c>
      <c r="C72" s="1290" t="s">
        <v>78</v>
      </c>
      <c r="D72" s="1291"/>
      <c r="E72" s="1291"/>
      <c r="F72" s="1291"/>
      <c r="G72" s="1292"/>
      <c r="H72" s="1290" t="s">
        <v>79</v>
      </c>
      <c r="I72" s="1291"/>
      <c r="J72" s="1291"/>
      <c r="K72" s="1291"/>
      <c r="L72" s="1291"/>
      <c r="M72" s="1291"/>
      <c r="N72" s="1291"/>
      <c r="O72" s="1292"/>
    </row>
    <row r="73" spans="1:15" ht="174" customHeight="1" x14ac:dyDescent="0.25">
      <c r="A73" s="46" t="s">
        <v>737</v>
      </c>
      <c r="B73" s="174">
        <v>1</v>
      </c>
      <c r="C73" s="997" t="s">
        <v>761</v>
      </c>
      <c r="D73" s="1289"/>
      <c r="E73" s="1289"/>
      <c r="F73" s="1289"/>
      <c r="G73" s="1289"/>
      <c r="H73" s="998" t="s">
        <v>762</v>
      </c>
      <c r="I73" s="998"/>
      <c r="J73" s="998"/>
      <c r="K73" s="998"/>
      <c r="L73" s="998"/>
      <c r="M73" s="998"/>
      <c r="N73" s="998"/>
      <c r="O73" s="998"/>
    </row>
    <row r="76" spans="1:15" ht="20" x14ac:dyDescent="0.25">
      <c r="A76" s="1154" t="str">
        <f>+'Hoja 11. TABLA DE CONTROL'!B62</f>
        <v>N° DE APLICATIVOS FINANCIEROS Y CONTABLES ACTUALIZADOS</v>
      </c>
      <c r="B76" s="1155"/>
      <c r="C76" s="1155"/>
      <c r="D76" s="1155"/>
      <c r="E76" s="1155"/>
      <c r="F76" s="1155"/>
      <c r="G76" s="1155"/>
      <c r="H76" s="1155"/>
      <c r="I76" s="1155"/>
      <c r="J76" s="1155"/>
      <c r="K76" s="1155"/>
      <c r="L76" s="1155"/>
      <c r="M76" s="1155"/>
      <c r="N76" s="1155"/>
      <c r="O76" s="1156"/>
    </row>
    <row r="77" spans="1:15" x14ac:dyDescent="0.25">
      <c r="A77" s="108" t="s">
        <v>76</v>
      </c>
      <c r="B77" s="108" t="s">
        <v>95</v>
      </c>
      <c r="C77" s="1186" t="s">
        <v>78</v>
      </c>
      <c r="D77" s="1186"/>
      <c r="E77" s="1186"/>
      <c r="F77" s="1186"/>
      <c r="G77" s="1186"/>
      <c r="H77" s="1186" t="s">
        <v>79</v>
      </c>
      <c r="I77" s="1186"/>
      <c r="J77" s="1186"/>
      <c r="K77" s="1186"/>
      <c r="L77" s="1186"/>
      <c r="M77" s="1186"/>
      <c r="N77" s="1186"/>
      <c r="O77" s="1186"/>
    </row>
    <row r="78" spans="1:15" ht="105.75" customHeight="1" x14ac:dyDescent="0.25">
      <c r="A78" s="95" t="s">
        <v>740</v>
      </c>
      <c r="B78" s="248">
        <v>0.6</v>
      </c>
      <c r="C78" s="997" t="s">
        <v>763</v>
      </c>
      <c r="D78" s="997"/>
      <c r="E78" s="997"/>
      <c r="F78" s="997"/>
      <c r="G78" s="997"/>
      <c r="H78" s="998" t="s">
        <v>764</v>
      </c>
      <c r="I78" s="998"/>
      <c r="J78" s="998"/>
      <c r="K78" s="998"/>
      <c r="L78" s="998"/>
      <c r="M78" s="998"/>
      <c r="N78" s="998"/>
      <c r="O78" s="998"/>
    </row>
  </sheetData>
  <mergeCells count="106">
    <mergeCell ref="G15:I17"/>
    <mergeCell ref="J15:J17"/>
    <mergeCell ref="K15:K17"/>
    <mergeCell ref="N15:N17"/>
    <mergeCell ref="O15:O17"/>
    <mergeCell ref="G62:G66"/>
    <mergeCell ref="L62:O66"/>
    <mergeCell ref="A67:O67"/>
    <mergeCell ref="C68:G68"/>
    <mergeCell ref="H68:O68"/>
    <mergeCell ref="A23:O23"/>
    <mergeCell ref="A26:F26"/>
    <mergeCell ref="A27:F27"/>
    <mergeCell ref="G29:H30"/>
    <mergeCell ref="I29:K29"/>
    <mergeCell ref="L29:O30"/>
    <mergeCell ref="N18:N19"/>
    <mergeCell ref="O18:O19"/>
    <mergeCell ref="A9:B21"/>
    <mergeCell ref="C18:C19"/>
    <mergeCell ref="D18:D19"/>
    <mergeCell ref="E18:E19"/>
    <mergeCell ref="F18:F19"/>
    <mergeCell ref="C20:C21"/>
    <mergeCell ref="A2:O2"/>
    <mergeCell ref="A4:B8"/>
    <mergeCell ref="C4:C8"/>
    <mergeCell ref="D4:D8"/>
    <mergeCell ref="E4:E8"/>
    <mergeCell ref="F4:F8"/>
    <mergeCell ref="G4:I4"/>
    <mergeCell ref="J4:J8"/>
    <mergeCell ref="K4:K8"/>
    <mergeCell ref="L4:M4"/>
    <mergeCell ref="N4:N8"/>
    <mergeCell ref="O4:O8"/>
    <mergeCell ref="O9:O11"/>
    <mergeCell ref="C9:C11"/>
    <mergeCell ref="D9:D11"/>
    <mergeCell ref="E9:E11"/>
    <mergeCell ref="F9:F11"/>
    <mergeCell ref="A1:D1"/>
    <mergeCell ref="O12:O14"/>
    <mergeCell ref="F20:F21"/>
    <mergeCell ref="G20:I21"/>
    <mergeCell ref="J20:J21"/>
    <mergeCell ref="K20:K21"/>
    <mergeCell ref="N20:N21"/>
    <mergeCell ref="O20:O21"/>
    <mergeCell ref="G12:I14"/>
    <mergeCell ref="J12:J14"/>
    <mergeCell ref="K12:K14"/>
    <mergeCell ref="N12:N14"/>
    <mergeCell ref="G9:I11"/>
    <mergeCell ref="J9:J11"/>
    <mergeCell ref="K9:K11"/>
    <mergeCell ref="N9:N11"/>
    <mergeCell ref="G18:I19"/>
    <mergeCell ref="J18:J19"/>
    <mergeCell ref="K18:K19"/>
    <mergeCell ref="D20:D21"/>
    <mergeCell ref="E20:E21"/>
    <mergeCell ref="C12:C14"/>
    <mergeCell ref="D12:D14"/>
    <mergeCell ref="E12:E14"/>
    <mergeCell ref="F12:F14"/>
    <mergeCell ref="C15:C17"/>
    <mergeCell ref="D15:D17"/>
    <mergeCell ref="E15:E17"/>
    <mergeCell ref="F15:F17"/>
    <mergeCell ref="G31:H31"/>
    <mergeCell ref="L31:O31"/>
    <mergeCell ref="G32:H32"/>
    <mergeCell ref="L32:O32"/>
    <mergeCell ref="G33:H33"/>
    <mergeCell ref="L33:O33"/>
    <mergeCell ref="G34:H34"/>
    <mergeCell ref="L34:O34"/>
    <mergeCell ref="G35:G39"/>
    <mergeCell ref="L35:O39"/>
    <mergeCell ref="A47:O47"/>
    <mergeCell ref="G40:G44"/>
    <mergeCell ref="L40:O44"/>
    <mergeCell ref="A50:F50"/>
    <mergeCell ref="A51:F51"/>
    <mergeCell ref="G53:H54"/>
    <mergeCell ref="I53:K53"/>
    <mergeCell ref="L53:O54"/>
    <mergeCell ref="G55:H55"/>
    <mergeCell ref="L55:O55"/>
    <mergeCell ref="C78:G78"/>
    <mergeCell ref="H78:O78"/>
    <mergeCell ref="C73:G73"/>
    <mergeCell ref="H73:O73"/>
    <mergeCell ref="A76:O76"/>
    <mergeCell ref="C77:G77"/>
    <mergeCell ref="H77:O77"/>
    <mergeCell ref="G56:H56"/>
    <mergeCell ref="L56:O56"/>
    <mergeCell ref="G57:G61"/>
    <mergeCell ref="L57:O61"/>
    <mergeCell ref="A71:O71"/>
    <mergeCell ref="C72:G72"/>
    <mergeCell ref="H72:O72"/>
    <mergeCell ref="C69:G69"/>
    <mergeCell ref="H69:O69"/>
  </mergeCells>
  <hyperlinks>
    <hyperlink ref="A23:O23" location="'Hoja 11. TABLA DE CONTROL'!B57" display="'Hoja 11. TABLA DE CONTROL'!B57" xr:uid="{00000000-0004-0000-4C00-000000000000}"/>
    <hyperlink ref="D9:D11" location="'Hoja 9. FC'!A23" display="PORCENTAJE (%) DE INCREMENTO DE CARTERA RECUPERADA ENTRE VIGENCIAS." xr:uid="{00000000-0004-0000-4C00-000001000000}"/>
    <hyperlink ref="A47:O47" location="'Hoja 11. TABLA DE CONTROL'!B58" display="'Hoja 11. TABLA DE CONTROL'!B58" xr:uid="{00000000-0004-0000-4C00-000002000000}"/>
    <hyperlink ref="A76:O76" location="'Hoja 11. TABLA DE CONTROL'!B61" display="'Hoja 11. TABLA DE CONTROL'!B61" xr:uid="{00000000-0004-0000-4C00-000003000000}"/>
    <hyperlink ref="D12:D14" location="'Hoja 9. FC'!A47" display="PORCENTAJE (%) DE INCREMENTO DE INGRESOS POR SOBRETASA AMBIENTAL  ENTRE VIGENCIAS. " xr:uid="{00000000-0004-0000-4C00-000004000000}"/>
    <hyperlink ref="D18:D19" location="'Hoja 9. FC'!A71" display="N° DE EVENTOS DE CAPACITACIÓN Y/O REINDUCCIÓN " xr:uid="{00000000-0004-0000-4C00-000005000000}"/>
    <hyperlink ref="D20:D21" location="'Hoja 9. FC'!A76" display="N° DE APLICATIVOS FINANCIEROS Y CONTABLES ACTUALIZADOS" xr:uid="{00000000-0004-0000-4C00-000006000000}"/>
    <hyperlink ref="A71:O71" location="'Hoja 11. TABLA DE CONTROL'!B60" display="'Hoja 11. TABLA DE CONTROL'!B60" xr:uid="{00000000-0004-0000-4C00-000007000000}"/>
    <hyperlink ref="A67:O67" location="'Hoja 11. TABLA DE CONTROL'!B59" display="'Hoja 11. TABLA DE CONTROL'!B59" xr:uid="{00000000-0004-0000-4C00-000008000000}"/>
    <hyperlink ref="D15:D17" location="'Hoja 9. FC'!A67" display="PORCENTAJE (%) DE INCREMENTO DE CARTERA RECUPERADA Y  DE INGRESOS POR SOBRETASA, TASA Y MULTAS ENTRE VIGENCIAS." xr:uid="{00000000-0004-0000-4C00-000009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05
Hoja 9. Indicadores Proceso Gestión Financiera y Contable
Página &amp;P de &amp;N</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tabColor rgb="FF92D050"/>
  </sheetPr>
  <dimension ref="A1:P209"/>
  <sheetViews>
    <sheetView showGridLines="0" topLeftCell="A64" zoomScale="50" zoomScaleNormal="50" workbookViewId="0">
      <selection activeCell="J219" sqref="J219"/>
    </sheetView>
  </sheetViews>
  <sheetFormatPr baseColWidth="10" defaultColWidth="11.453125" defaultRowHeight="13.5" x14ac:dyDescent="0.25"/>
  <cols>
    <col min="1" max="2" width="24.08984375" style="2" customWidth="1"/>
    <col min="3" max="3" width="20.453125" style="2" customWidth="1"/>
    <col min="4" max="4" width="21.54296875" style="2" customWidth="1"/>
    <col min="5" max="5" width="21.36328125" style="2" customWidth="1"/>
    <col min="6" max="6" width="27" style="2" customWidth="1"/>
    <col min="7" max="7" width="22.453125" style="2" customWidth="1"/>
    <col min="8" max="8" width="37.90625" style="2" customWidth="1"/>
    <col min="9" max="9" width="30.08984375" style="2" customWidth="1"/>
    <col min="10" max="10" width="21.90625" style="2" customWidth="1"/>
    <col min="11" max="11" width="21.453125" style="2" customWidth="1"/>
    <col min="12" max="12" width="25.36328125" style="2" customWidth="1"/>
    <col min="13" max="13" width="69.90625" style="2" customWidth="1"/>
    <col min="14" max="14" width="29.36328125" style="2" customWidth="1"/>
    <col min="15" max="15" width="37.08984375" style="2" customWidth="1"/>
    <col min="16" max="16384" width="11.453125" style="2"/>
  </cols>
  <sheetData>
    <row r="1" spans="1:15" ht="64.5" customHeight="1" x14ac:dyDescent="0.25">
      <c r="A1" s="744"/>
      <c r="B1" s="744"/>
      <c r="C1" s="744"/>
      <c r="D1" s="744"/>
      <c r="E1" s="9"/>
      <c r="F1" s="9"/>
      <c r="G1" s="9"/>
      <c r="H1" s="9"/>
      <c r="I1" s="9"/>
      <c r="J1" s="9"/>
      <c r="K1" s="9"/>
      <c r="L1" s="9"/>
      <c r="M1" s="9"/>
      <c r="N1" s="9"/>
      <c r="O1" s="9"/>
    </row>
    <row r="2" spans="1:15" ht="27.75" customHeight="1" x14ac:dyDescent="0.25">
      <c r="A2" s="1172" t="s">
        <v>27</v>
      </c>
      <c r="B2" s="1173"/>
      <c r="C2" s="1173"/>
      <c r="D2" s="1173"/>
      <c r="E2" s="1173"/>
      <c r="F2" s="1173"/>
      <c r="G2" s="1173"/>
      <c r="H2" s="1173"/>
      <c r="I2" s="1173"/>
      <c r="J2" s="1173"/>
      <c r="K2" s="1173"/>
      <c r="L2" s="1173"/>
      <c r="M2" s="1173"/>
      <c r="N2" s="1173"/>
      <c r="O2" s="1174"/>
    </row>
    <row r="4" spans="1:15" s="4" customFormat="1" ht="41.25" customHeight="1" x14ac:dyDescent="0.35">
      <c r="A4" s="1178" t="s">
        <v>0</v>
      </c>
      <c r="B4" s="1179"/>
      <c r="C4" s="1176" t="s">
        <v>26</v>
      </c>
      <c r="D4" s="1176" t="s">
        <v>1</v>
      </c>
      <c r="E4" s="1176" t="s">
        <v>2</v>
      </c>
      <c r="F4" s="1176" t="s">
        <v>3</v>
      </c>
      <c r="G4" s="1345" t="s">
        <v>33</v>
      </c>
      <c r="H4" s="1346"/>
      <c r="I4" s="1347"/>
      <c r="J4" s="1176" t="s">
        <v>4</v>
      </c>
      <c r="K4" s="1176" t="s">
        <v>5</v>
      </c>
      <c r="L4" s="1345" t="s">
        <v>49</v>
      </c>
      <c r="M4" s="1347"/>
      <c r="N4" s="1176" t="s">
        <v>6</v>
      </c>
      <c r="O4" s="1176" t="s">
        <v>7</v>
      </c>
    </row>
    <row r="5" spans="1:15" s="4" customFormat="1" ht="36" customHeight="1" x14ac:dyDescent="0.35">
      <c r="A5" s="1340"/>
      <c r="B5" s="1341"/>
      <c r="C5" s="1177"/>
      <c r="D5" s="1177"/>
      <c r="E5" s="1177"/>
      <c r="F5" s="1177"/>
      <c r="G5" s="268" t="s">
        <v>31</v>
      </c>
      <c r="H5" s="268" t="s">
        <v>32</v>
      </c>
      <c r="I5" s="268" t="s">
        <v>43</v>
      </c>
      <c r="J5" s="1177"/>
      <c r="K5" s="1177"/>
      <c r="L5" s="268" t="s">
        <v>47</v>
      </c>
      <c r="M5" s="268" t="s">
        <v>48</v>
      </c>
      <c r="N5" s="1177"/>
      <c r="O5" s="1177"/>
    </row>
    <row r="6" spans="1:15" s="4" customFormat="1" ht="40.5" x14ac:dyDescent="0.35">
      <c r="A6" s="1340"/>
      <c r="B6" s="1341"/>
      <c r="C6" s="1177"/>
      <c r="D6" s="1177"/>
      <c r="E6" s="1177"/>
      <c r="F6" s="1177"/>
      <c r="G6" s="14" t="s">
        <v>35</v>
      </c>
      <c r="H6" s="15" t="s">
        <v>37</v>
      </c>
      <c r="I6" s="14" t="s">
        <v>40</v>
      </c>
      <c r="J6" s="1177"/>
      <c r="K6" s="1177"/>
      <c r="L6" s="11" t="s">
        <v>44</v>
      </c>
      <c r="M6" s="15" t="s">
        <v>52</v>
      </c>
      <c r="N6" s="1177"/>
      <c r="O6" s="1177"/>
    </row>
    <row r="7" spans="1:15" s="4" customFormat="1" ht="40.5" x14ac:dyDescent="0.35">
      <c r="A7" s="1340"/>
      <c r="B7" s="1341"/>
      <c r="C7" s="1177"/>
      <c r="D7" s="1177"/>
      <c r="E7" s="1177"/>
      <c r="F7" s="1177"/>
      <c r="G7" s="14" t="s">
        <v>34</v>
      </c>
      <c r="H7" s="15" t="s">
        <v>38</v>
      </c>
      <c r="I7" s="14" t="s">
        <v>41</v>
      </c>
      <c r="J7" s="1177"/>
      <c r="K7" s="1177"/>
      <c r="L7" s="10" t="s">
        <v>45</v>
      </c>
      <c r="M7" s="15" t="s">
        <v>50</v>
      </c>
      <c r="N7" s="1177"/>
      <c r="O7" s="1177"/>
    </row>
    <row r="8" spans="1:15" s="4" customFormat="1" ht="40.5" x14ac:dyDescent="0.35">
      <c r="A8" s="1342"/>
      <c r="B8" s="1343"/>
      <c r="C8" s="1344"/>
      <c r="D8" s="1344"/>
      <c r="E8" s="1344"/>
      <c r="F8" s="1344"/>
      <c r="G8" s="109" t="s">
        <v>36</v>
      </c>
      <c r="H8" s="96" t="s">
        <v>39</v>
      </c>
      <c r="I8" s="109" t="s">
        <v>42</v>
      </c>
      <c r="J8" s="1344"/>
      <c r="K8" s="1344"/>
      <c r="L8" s="42" t="s">
        <v>46</v>
      </c>
      <c r="M8" s="96" t="s">
        <v>51</v>
      </c>
      <c r="N8" s="1344"/>
      <c r="O8" s="1344"/>
    </row>
    <row r="9" spans="1:15" ht="66" customHeight="1" x14ac:dyDescent="0.25">
      <c r="A9" s="1348" t="s">
        <v>480</v>
      </c>
      <c r="B9" s="1348"/>
      <c r="C9" s="1169" t="s">
        <v>67</v>
      </c>
      <c r="D9" s="1236" t="s">
        <v>481</v>
      </c>
      <c r="E9" s="1169" t="s">
        <v>482</v>
      </c>
      <c r="F9" s="1169" t="s">
        <v>483</v>
      </c>
      <c r="G9" s="1180" t="s">
        <v>34</v>
      </c>
      <c r="H9" s="1294"/>
      <c r="I9" s="1181"/>
      <c r="J9" s="1169" t="s">
        <v>484</v>
      </c>
      <c r="K9" s="1337" t="s">
        <v>57</v>
      </c>
      <c r="L9" s="97" t="s">
        <v>44</v>
      </c>
      <c r="M9" s="132" t="s">
        <v>57</v>
      </c>
      <c r="N9" s="1169" t="s">
        <v>97</v>
      </c>
      <c r="O9" s="1169" t="s">
        <v>1074</v>
      </c>
    </row>
    <row r="10" spans="1:15" ht="66" customHeight="1" x14ac:dyDescent="0.25">
      <c r="A10" s="1349"/>
      <c r="B10" s="1349"/>
      <c r="C10" s="1293"/>
      <c r="D10" s="1237"/>
      <c r="E10" s="1293"/>
      <c r="F10" s="1293"/>
      <c r="G10" s="1182"/>
      <c r="H10" s="971"/>
      <c r="I10" s="1183"/>
      <c r="J10" s="1293"/>
      <c r="K10" s="1338"/>
      <c r="L10" s="97" t="s">
        <v>45</v>
      </c>
      <c r="M10" s="133" t="s">
        <v>117</v>
      </c>
      <c r="N10" s="1293"/>
      <c r="O10" s="1293"/>
    </row>
    <row r="11" spans="1:15" ht="66" customHeight="1" x14ac:dyDescent="0.25">
      <c r="A11" s="1349"/>
      <c r="B11" s="1349"/>
      <c r="C11" s="1242"/>
      <c r="D11" s="1238"/>
      <c r="E11" s="1242"/>
      <c r="F11" s="1242"/>
      <c r="G11" s="1184"/>
      <c r="H11" s="1295"/>
      <c r="I11" s="1185"/>
      <c r="J11" s="1242"/>
      <c r="K11" s="1339"/>
      <c r="L11" s="97" t="s">
        <v>46</v>
      </c>
      <c r="M11" s="134" t="s">
        <v>104</v>
      </c>
      <c r="N11" s="1242"/>
      <c r="O11" s="1242"/>
    </row>
    <row r="12" spans="1:15" ht="95.25" customHeight="1" x14ac:dyDescent="0.25">
      <c r="A12" s="1349"/>
      <c r="B12" s="1349"/>
      <c r="C12" s="1169" t="s">
        <v>110</v>
      </c>
      <c r="D12" s="1236" t="s">
        <v>485</v>
      </c>
      <c r="E12" s="1169" t="s">
        <v>486</v>
      </c>
      <c r="F12" s="1169" t="s">
        <v>487</v>
      </c>
      <c r="G12" s="1180" t="s">
        <v>34</v>
      </c>
      <c r="H12" s="1294"/>
      <c r="I12" s="1181"/>
      <c r="J12" s="1169" t="s">
        <v>384</v>
      </c>
      <c r="K12" s="1049" t="s">
        <v>65</v>
      </c>
      <c r="L12" s="97" t="s">
        <v>44</v>
      </c>
      <c r="M12" s="132" t="s">
        <v>65</v>
      </c>
      <c r="N12" s="1169" t="s">
        <v>97</v>
      </c>
      <c r="O12" s="1169" t="s">
        <v>1074</v>
      </c>
    </row>
    <row r="13" spans="1:15" ht="95.25" customHeight="1" x14ac:dyDescent="0.25">
      <c r="A13" s="1349"/>
      <c r="B13" s="1349"/>
      <c r="C13" s="1293"/>
      <c r="D13" s="1237"/>
      <c r="E13" s="1293"/>
      <c r="F13" s="1293"/>
      <c r="G13" s="1182"/>
      <c r="H13" s="971"/>
      <c r="I13" s="1183"/>
      <c r="J13" s="1293"/>
      <c r="K13" s="1050"/>
      <c r="L13" s="97" t="s">
        <v>45</v>
      </c>
      <c r="M13" s="133" t="s">
        <v>121</v>
      </c>
      <c r="N13" s="1293"/>
      <c r="O13" s="1293"/>
    </row>
    <row r="14" spans="1:15" ht="95.25" customHeight="1" x14ac:dyDescent="0.25">
      <c r="A14" s="1349"/>
      <c r="B14" s="1349"/>
      <c r="C14" s="1242"/>
      <c r="D14" s="1238"/>
      <c r="E14" s="1242"/>
      <c r="F14" s="1242"/>
      <c r="G14" s="1184"/>
      <c r="H14" s="1295"/>
      <c r="I14" s="1185"/>
      <c r="J14" s="1242"/>
      <c r="K14" s="1051"/>
      <c r="L14" s="97" t="s">
        <v>46</v>
      </c>
      <c r="M14" s="134" t="s">
        <v>61</v>
      </c>
      <c r="N14" s="1242"/>
      <c r="O14" s="1242"/>
    </row>
    <row r="15" spans="1:15" ht="72.75" customHeight="1" x14ac:dyDescent="0.25">
      <c r="A15" s="1349"/>
      <c r="B15" s="1349"/>
      <c r="C15" s="1169" t="s">
        <v>53</v>
      </c>
      <c r="D15" s="1236" t="s">
        <v>783</v>
      </c>
      <c r="E15" s="1169" t="s">
        <v>784</v>
      </c>
      <c r="F15" s="1169" t="s">
        <v>785</v>
      </c>
      <c r="G15" s="1180" t="s">
        <v>34</v>
      </c>
      <c r="H15" s="1294"/>
      <c r="I15" s="1181"/>
      <c r="J15" s="1169" t="s">
        <v>55</v>
      </c>
      <c r="K15" s="1337" t="s">
        <v>57</v>
      </c>
      <c r="L15" s="97" t="s">
        <v>44</v>
      </c>
      <c r="M15" s="132" t="s">
        <v>57</v>
      </c>
      <c r="N15" s="1169" t="s">
        <v>97</v>
      </c>
      <c r="O15" s="1169" t="s">
        <v>1074</v>
      </c>
    </row>
    <row r="16" spans="1:15" ht="72.75" customHeight="1" x14ac:dyDescent="0.25">
      <c r="A16" s="1349"/>
      <c r="B16" s="1349"/>
      <c r="C16" s="1293"/>
      <c r="D16" s="1237"/>
      <c r="E16" s="1293"/>
      <c r="F16" s="1293"/>
      <c r="G16" s="1182"/>
      <c r="H16" s="971"/>
      <c r="I16" s="1183"/>
      <c r="J16" s="1293"/>
      <c r="K16" s="1338"/>
      <c r="L16" s="97" t="s">
        <v>45</v>
      </c>
      <c r="M16" s="133" t="s">
        <v>489</v>
      </c>
      <c r="N16" s="1293"/>
      <c r="O16" s="1293"/>
    </row>
    <row r="17" spans="1:15" ht="72.75" customHeight="1" x14ac:dyDescent="0.25">
      <c r="A17" s="1349"/>
      <c r="B17" s="1349"/>
      <c r="C17" s="1242"/>
      <c r="D17" s="1238"/>
      <c r="E17" s="1242"/>
      <c r="F17" s="1242"/>
      <c r="G17" s="1184"/>
      <c r="H17" s="1295"/>
      <c r="I17" s="1185"/>
      <c r="J17" s="1242"/>
      <c r="K17" s="1339"/>
      <c r="L17" s="97" t="s">
        <v>46</v>
      </c>
      <c r="M17" s="134" t="s">
        <v>104</v>
      </c>
      <c r="N17" s="1242"/>
      <c r="O17" s="1242"/>
    </row>
    <row r="18" spans="1:15" ht="70.5" customHeight="1" x14ac:dyDescent="0.25">
      <c r="A18" s="1349"/>
      <c r="B18" s="1349"/>
      <c r="C18" s="1169" t="s">
        <v>67</v>
      </c>
      <c r="D18" s="1236" t="s">
        <v>118</v>
      </c>
      <c r="E18" s="1169" t="s">
        <v>119</v>
      </c>
      <c r="F18" s="1169" t="s">
        <v>120</v>
      </c>
      <c r="G18" s="1180" t="s">
        <v>34</v>
      </c>
      <c r="H18" s="1294"/>
      <c r="I18" s="1181"/>
      <c r="J18" s="1169" t="s">
        <v>55</v>
      </c>
      <c r="K18" s="1049" t="s">
        <v>65</v>
      </c>
      <c r="L18" s="97" t="s">
        <v>44</v>
      </c>
      <c r="M18" s="132" t="s">
        <v>65</v>
      </c>
      <c r="N18" s="1169" t="s">
        <v>97</v>
      </c>
      <c r="O18" s="1169" t="s">
        <v>1075</v>
      </c>
    </row>
    <row r="19" spans="1:15" ht="70.5" customHeight="1" x14ac:dyDescent="0.25">
      <c r="A19" s="1349"/>
      <c r="B19" s="1349"/>
      <c r="C19" s="1293"/>
      <c r="D19" s="1237"/>
      <c r="E19" s="1293"/>
      <c r="F19" s="1293"/>
      <c r="G19" s="1182"/>
      <c r="H19" s="971"/>
      <c r="I19" s="1183"/>
      <c r="J19" s="1293"/>
      <c r="K19" s="1050"/>
      <c r="L19" s="97" t="s">
        <v>45</v>
      </c>
      <c r="M19" s="133" t="s">
        <v>66</v>
      </c>
      <c r="N19" s="1293"/>
      <c r="O19" s="1293"/>
    </row>
    <row r="20" spans="1:15" ht="70.5" customHeight="1" x14ac:dyDescent="0.25">
      <c r="A20" s="1349"/>
      <c r="B20" s="1349"/>
      <c r="C20" s="1242"/>
      <c r="D20" s="1238"/>
      <c r="E20" s="1242"/>
      <c r="F20" s="1242"/>
      <c r="G20" s="1184"/>
      <c r="H20" s="1295"/>
      <c r="I20" s="1185"/>
      <c r="J20" s="1242"/>
      <c r="K20" s="1051"/>
      <c r="L20" s="97" t="s">
        <v>46</v>
      </c>
      <c r="M20" s="134" t="s">
        <v>61</v>
      </c>
      <c r="N20" s="1242"/>
      <c r="O20" s="1242"/>
    </row>
    <row r="21" spans="1:15" ht="56.25" customHeight="1" x14ac:dyDescent="0.25">
      <c r="A21" s="1349"/>
      <c r="B21" s="1349"/>
      <c r="C21" s="1169" t="s">
        <v>67</v>
      </c>
      <c r="D21" s="1236" t="s">
        <v>1090</v>
      </c>
      <c r="E21" s="1049" t="s">
        <v>1091</v>
      </c>
      <c r="F21" s="1049" t="s">
        <v>1092</v>
      </c>
      <c r="G21" s="1180" t="s">
        <v>34</v>
      </c>
      <c r="H21" s="1294"/>
      <c r="I21" s="1181"/>
      <c r="J21" s="1049" t="s">
        <v>63</v>
      </c>
      <c r="K21" s="1239" t="s">
        <v>1093</v>
      </c>
      <c r="L21" s="97" t="s">
        <v>44</v>
      </c>
      <c r="M21" s="441" t="s">
        <v>1094</v>
      </c>
      <c r="N21" s="1169" t="s">
        <v>494</v>
      </c>
      <c r="O21" s="1169" t="s">
        <v>1074</v>
      </c>
    </row>
    <row r="22" spans="1:15" ht="42" customHeight="1" x14ac:dyDescent="0.25">
      <c r="A22" s="1349"/>
      <c r="B22" s="1349"/>
      <c r="C22" s="1293"/>
      <c r="D22" s="1237"/>
      <c r="E22" s="1050"/>
      <c r="F22" s="1050"/>
      <c r="G22" s="1182"/>
      <c r="H22" s="971"/>
      <c r="I22" s="1183"/>
      <c r="J22" s="1050"/>
      <c r="K22" s="1240"/>
      <c r="L22" s="97" t="s">
        <v>45</v>
      </c>
      <c r="M22" s="442" t="s">
        <v>1095</v>
      </c>
      <c r="N22" s="1293"/>
      <c r="O22" s="1293"/>
    </row>
    <row r="23" spans="1:15" ht="47.25" customHeight="1" x14ac:dyDescent="0.25">
      <c r="A23" s="1349"/>
      <c r="B23" s="1349"/>
      <c r="C23" s="1242"/>
      <c r="D23" s="1238"/>
      <c r="E23" s="1051"/>
      <c r="F23" s="1051"/>
      <c r="G23" s="1184"/>
      <c r="H23" s="1295"/>
      <c r="I23" s="1185"/>
      <c r="J23" s="1051"/>
      <c r="K23" s="1241"/>
      <c r="L23" s="97" t="s">
        <v>46</v>
      </c>
      <c r="M23" s="440" t="s">
        <v>1096</v>
      </c>
      <c r="N23" s="1242"/>
      <c r="O23" s="1242"/>
    </row>
    <row r="24" spans="1:15" ht="66" customHeight="1" x14ac:dyDescent="0.25">
      <c r="A24" s="1349"/>
      <c r="B24" s="1349"/>
      <c r="C24" s="1169" t="s">
        <v>67</v>
      </c>
      <c r="D24" s="1236" t="s">
        <v>1076</v>
      </c>
      <c r="E24" s="1049" t="s">
        <v>1077</v>
      </c>
      <c r="F24" s="1049" t="s">
        <v>1078</v>
      </c>
      <c r="G24" s="1180" t="s">
        <v>34</v>
      </c>
      <c r="H24" s="1294"/>
      <c r="I24" s="1181"/>
      <c r="J24" s="1049" t="s">
        <v>63</v>
      </c>
      <c r="K24" s="1239" t="s">
        <v>687</v>
      </c>
      <c r="L24" s="97" t="s">
        <v>44</v>
      </c>
      <c r="M24" s="137" t="s">
        <v>687</v>
      </c>
      <c r="N24" s="1169" t="s">
        <v>97</v>
      </c>
      <c r="O24" s="1169" t="s">
        <v>1074</v>
      </c>
    </row>
    <row r="25" spans="1:15" ht="66" customHeight="1" x14ac:dyDescent="0.25">
      <c r="A25" s="1349"/>
      <c r="B25" s="1349"/>
      <c r="C25" s="1293"/>
      <c r="D25" s="1237"/>
      <c r="E25" s="1050"/>
      <c r="F25" s="1050"/>
      <c r="G25" s="1182"/>
      <c r="H25" s="971"/>
      <c r="I25" s="1183"/>
      <c r="J25" s="1050"/>
      <c r="K25" s="1240"/>
      <c r="L25" s="97" t="s">
        <v>45</v>
      </c>
      <c r="M25" s="439" t="s">
        <v>1080</v>
      </c>
      <c r="N25" s="1293"/>
      <c r="O25" s="1293"/>
    </row>
    <row r="26" spans="1:15" ht="66" customHeight="1" x14ac:dyDescent="0.25">
      <c r="A26" s="1349"/>
      <c r="B26" s="1349"/>
      <c r="C26" s="1242"/>
      <c r="D26" s="1238"/>
      <c r="E26" s="1051"/>
      <c r="F26" s="1051"/>
      <c r="G26" s="1184"/>
      <c r="H26" s="1295"/>
      <c r="I26" s="1185"/>
      <c r="J26" s="1051"/>
      <c r="K26" s="1241"/>
      <c r="L26" s="97" t="s">
        <v>46</v>
      </c>
      <c r="M26" s="440" t="s">
        <v>1079</v>
      </c>
      <c r="N26" s="1242"/>
      <c r="O26" s="1242"/>
    </row>
    <row r="27" spans="1:15" ht="76.5" customHeight="1" x14ac:dyDescent="0.25">
      <c r="A27" s="1349"/>
      <c r="B27" s="1349"/>
      <c r="C27" s="1169" t="s">
        <v>67</v>
      </c>
      <c r="D27" s="1236" t="s">
        <v>1081</v>
      </c>
      <c r="E27" s="1049" t="s">
        <v>1082</v>
      </c>
      <c r="F27" s="1049" t="s">
        <v>1083</v>
      </c>
      <c r="G27" s="1180" t="s">
        <v>34</v>
      </c>
      <c r="H27" s="1294"/>
      <c r="I27" s="1181"/>
      <c r="J27" s="1049" t="s">
        <v>63</v>
      </c>
      <c r="K27" s="1239" t="s">
        <v>1084</v>
      </c>
      <c r="L27" s="97" t="s">
        <v>44</v>
      </c>
      <c r="M27" s="137" t="s">
        <v>688</v>
      </c>
      <c r="N27" s="1169" t="s">
        <v>97</v>
      </c>
      <c r="O27" s="1169" t="s">
        <v>1074</v>
      </c>
    </row>
    <row r="28" spans="1:15" ht="76.5" customHeight="1" x14ac:dyDescent="0.25">
      <c r="A28" s="1349"/>
      <c r="B28" s="1349"/>
      <c r="C28" s="1242"/>
      <c r="D28" s="1238"/>
      <c r="E28" s="1051"/>
      <c r="F28" s="1051"/>
      <c r="G28" s="1184"/>
      <c r="H28" s="1295"/>
      <c r="I28" s="1185"/>
      <c r="J28" s="1051"/>
      <c r="K28" s="1241"/>
      <c r="L28" s="97" t="s">
        <v>46</v>
      </c>
      <c r="M28" s="138" t="s">
        <v>689</v>
      </c>
      <c r="N28" s="1242"/>
      <c r="O28" s="1242"/>
    </row>
    <row r="29" spans="1:15" ht="54.75" customHeight="1" x14ac:dyDescent="0.25">
      <c r="A29" s="1349"/>
      <c r="B29" s="1349"/>
      <c r="C29" s="1169" t="s">
        <v>67</v>
      </c>
      <c r="D29" s="1236" t="s">
        <v>490</v>
      </c>
      <c r="E29" s="1049" t="s">
        <v>491</v>
      </c>
      <c r="F29" s="1049" t="s">
        <v>492</v>
      </c>
      <c r="G29" s="1180" t="s">
        <v>34</v>
      </c>
      <c r="H29" s="1294"/>
      <c r="I29" s="1181"/>
      <c r="J29" s="1049" t="s">
        <v>63</v>
      </c>
      <c r="K29" s="1239" t="s">
        <v>493</v>
      </c>
      <c r="L29" s="97" t="s">
        <v>44</v>
      </c>
      <c r="M29" s="441" t="s">
        <v>1085</v>
      </c>
      <c r="N29" s="1169" t="s">
        <v>494</v>
      </c>
      <c r="O29" s="1169" t="s">
        <v>1074</v>
      </c>
    </row>
    <row r="30" spans="1:15" ht="54.75" customHeight="1" x14ac:dyDescent="0.25">
      <c r="A30" s="1349"/>
      <c r="B30" s="1349"/>
      <c r="C30" s="1293"/>
      <c r="D30" s="1237"/>
      <c r="E30" s="1050"/>
      <c r="F30" s="1050"/>
      <c r="G30" s="1182"/>
      <c r="H30" s="971"/>
      <c r="I30" s="1183"/>
      <c r="J30" s="1050"/>
      <c r="K30" s="1240"/>
      <c r="L30" s="97" t="s">
        <v>45</v>
      </c>
      <c r="M30" s="439" t="s">
        <v>1086</v>
      </c>
      <c r="N30" s="1293"/>
      <c r="O30" s="1293"/>
    </row>
    <row r="31" spans="1:15" ht="60.75" customHeight="1" x14ac:dyDescent="0.25">
      <c r="A31" s="1349"/>
      <c r="B31" s="1349"/>
      <c r="C31" s="1242"/>
      <c r="D31" s="1238"/>
      <c r="E31" s="1051"/>
      <c r="F31" s="1051"/>
      <c r="G31" s="1184"/>
      <c r="H31" s="1295"/>
      <c r="I31" s="1185"/>
      <c r="J31" s="1051"/>
      <c r="K31" s="1241"/>
      <c r="L31" s="97" t="s">
        <v>46</v>
      </c>
      <c r="M31" s="440" t="s">
        <v>689</v>
      </c>
      <c r="N31" s="1242"/>
      <c r="O31" s="1242"/>
    </row>
    <row r="32" spans="1:15" ht="56.25" customHeight="1" x14ac:dyDescent="0.25">
      <c r="A32" s="1349"/>
      <c r="B32" s="1349"/>
      <c r="C32" s="1169" t="s">
        <v>67</v>
      </c>
      <c r="D32" s="1236" t="s">
        <v>1087</v>
      </c>
      <c r="E32" s="1049" t="s">
        <v>690</v>
      </c>
      <c r="F32" s="1049" t="s">
        <v>1088</v>
      </c>
      <c r="G32" s="1180" t="s">
        <v>34</v>
      </c>
      <c r="H32" s="1294"/>
      <c r="I32" s="1181"/>
      <c r="J32" s="1049" t="s">
        <v>63</v>
      </c>
      <c r="K32" s="1239" t="s">
        <v>1089</v>
      </c>
      <c r="L32" s="97" t="s">
        <v>44</v>
      </c>
      <c r="M32" s="200" t="s">
        <v>691</v>
      </c>
      <c r="N32" s="1169" t="s">
        <v>494</v>
      </c>
      <c r="O32" s="1169" t="s">
        <v>1074</v>
      </c>
    </row>
    <row r="33" spans="1:15" ht="42" customHeight="1" x14ac:dyDescent="0.25">
      <c r="A33" s="1349"/>
      <c r="B33" s="1349"/>
      <c r="C33" s="1293"/>
      <c r="D33" s="1237"/>
      <c r="E33" s="1050"/>
      <c r="F33" s="1050"/>
      <c r="G33" s="1182"/>
      <c r="H33" s="971"/>
      <c r="I33" s="1183"/>
      <c r="J33" s="1050"/>
      <c r="K33" s="1240"/>
      <c r="L33" s="97" t="s">
        <v>45</v>
      </c>
      <c r="M33" s="202" t="s">
        <v>692</v>
      </c>
      <c r="N33" s="1293"/>
      <c r="O33" s="1293"/>
    </row>
    <row r="34" spans="1:15" ht="47.25" customHeight="1" x14ac:dyDescent="0.25">
      <c r="A34" s="1349"/>
      <c r="B34" s="1349"/>
      <c r="C34" s="1242"/>
      <c r="D34" s="1238"/>
      <c r="E34" s="1051"/>
      <c r="F34" s="1051"/>
      <c r="G34" s="1184"/>
      <c r="H34" s="1295"/>
      <c r="I34" s="1185"/>
      <c r="J34" s="1051"/>
      <c r="K34" s="1241"/>
      <c r="L34" s="97" t="s">
        <v>46</v>
      </c>
      <c r="M34" s="201" t="s">
        <v>693</v>
      </c>
      <c r="N34" s="1242"/>
      <c r="O34" s="1242"/>
    </row>
    <row r="35" spans="1:15" ht="19.5" customHeight="1" x14ac:dyDescent="0.25"/>
    <row r="36" spans="1:15" ht="31.5" customHeight="1" x14ac:dyDescent="0.25">
      <c r="A36" s="1357" t="str">
        <f>+D9</f>
        <v>PORCENTAJE (%) DE PRUEBAS DE INTERCALIBRACIÓN  APROBADAS.</v>
      </c>
      <c r="B36" s="1358"/>
      <c r="C36" s="1358"/>
      <c r="D36" s="1358"/>
      <c r="E36" s="1358"/>
      <c r="F36" s="1358"/>
      <c r="G36" s="1358"/>
      <c r="H36" s="1358"/>
      <c r="I36" s="1358"/>
      <c r="J36" s="1358"/>
      <c r="K36" s="1358"/>
      <c r="L36" s="1358"/>
      <c r="M36" s="1358"/>
      <c r="N36" s="1358"/>
      <c r="O36" s="1359"/>
    </row>
    <row r="37" spans="1:15" ht="41.25" customHeight="1" x14ac:dyDescent="0.25">
      <c r="A37" s="5"/>
    </row>
    <row r="38" spans="1:15" ht="41.25" customHeight="1" x14ac:dyDescent="0.25">
      <c r="A38" s="26"/>
      <c r="G38" s="39">
        <v>2012</v>
      </c>
      <c r="H38" s="39">
        <v>2013</v>
      </c>
      <c r="I38" s="39">
        <v>2014</v>
      </c>
      <c r="J38" s="39">
        <v>2015</v>
      </c>
      <c r="K38" s="39">
        <v>2016</v>
      </c>
      <c r="L38" s="39">
        <v>2017</v>
      </c>
      <c r="M38" s="39"/>
    </row>
    <row r="39" spans="1:15" ht="41.25" customHeight="1" x14ac:dyDescent="0.25">
      <c r="A39" s="866" t="s">
        <v>542</v>
      </c>
      <c r="B39" s="867"/>
      <c r="C39" s="867"/>
      <c r="D39" s="867"/>
      <c r="E39" s="867"/>
      <c r="F39" s="867"/>
      <c r="G39" s="27">
        <v>0.92</v>
      </c>
      <c r="H39" s="27">
        <v>0.99</v>
      </c>
      <c r="I39" s="27">
        <v>1</v>
      </c>
      <c r="J39" s="27">
        <v>1</v>
      </c>
      <c r="K39" s="27" t="e">
        <f>+I66</f>
        <v>#DIV/0!</v>
      </c>
      <c r="L39" s="27" t="e">
        <f>+I66</f>
        <v>#DIV/0!</v>
      </c>
      <c r="M39" s="27"/>
    </row>
    <row r="40" spans="1:15" ht="41.25" customHeight="1" x14ac:dyDescent="0.25">
      <c r="A40" s="866" t="s">
        <v>543</v>
      </c>
      <c r="B40" s="867"/>
      <c r="C40" s="867"/>
      <c r="D40" s="867"/>
      <c r="E40" s="867"/>
      <c r="F40" s="867"/>
      <c r="G40" s="27">
        <v>1</v>
      </c>
      <c r="H40" s="27">
        <v>0.92</v>
      </c>
      <c r="I40" s="27">
        <v>0.91</v>
      </c>
      <c r="J40" s="27">
        <v>1</v>
      </c>
      <c r="K40" s="27" t="e">
        <f>+J66</f>
        <v>#DIV/0!</v>
      </c>
      <c r="L40" s="27" t="e">
        <f>+J66</f>
        <v>#DIV/0!</v>
      </c>
      <c r="M40" s="27"/>
    </row>
    <row r="41" spans="1:15" ht="41.25" hidden="1" customHeight="1" x14ac:dyDescent="0.25">
      <c r="A41" s="866" t="s">
        <v>544</v>
      </c>
      <c r="B41" s="867"/>
      <c r="C41" s="867"/>
      <c r="D41" s="867"/>
      <c r="E41" s="867"/>
      <c r="F41" s="867"/>
      <c r="G41" s="27">
        <v>0</v>
      </c>
      <c r="H41" s="27">
        <v>0</v>
      </c>
      <c r="I41" s="27">
        <v>0</v>
      </c>
      <c r="J41" s="27"/>
      <c r="K41" s="27"/>
      <c r="L41" s="27"/>
      <c r="M41" s="27"/>
    </row>
    <row r="42" spans="1:15" ht="41.25" hidden="1" customHeight="1" x14ac:dyDescent="0.25">
      <c r="A42" s="866" t="s">
        <v>545</v>
      </c>
      <c r="B42" s="867"/>
      <c r="C42" s="867"/>
      <c r="D42" s="867"/>
      <c r="E42" s="867"/>
      <c r="F42" s="867"/>
      <c r="G42" s="27">
        <v>0.67</v>
      </c>
      <c r="H42" s="27">
        <v>0</v>
      </c>
      <c r="I42" s="27">
        <v>0</v>
      </c>
      <c r="J42" s="27"/>
      <c r="K42" s="27"/>
      <c r="L42" s="27"/>
      <c r="M42" s="27"/>
    </row>
    <row r="43" spans="1:15" ht="41.25" customHeight="1" x14ac:dyDescent="0.25">
      <c r="A43" s="866" t="s">
        <v>546</v>
      </c>
      <c r="B43" s="867"/>
      <c r="C43" s="867"/>
      <c r="D43" s="867"/>
      <c r="E43" s="867"/>
      <c r="F43" s="867"/>
      <c r="G43" s="27">
        <v>0.93</v>
      </c>
      <c r="H43" s="27">
        <v>0.98</v>
      </c>
      <c r="I43" s="27">
        <v>0.95</v>
      </c>
      <c r="J43" s="27">
        <v>0.95</v>
      </c>
      <c r="K43" s="27" t="e">
        <f>+K66</f>
        <v>#DIV/0!</v>
      </c>
      <c r="L43" s="27" t="e">
        <f>+K66</f>
        <v>#DIV/0!</v>
      </c>
      <c r="M43" s="27"/>
    </row>
    <row r="44" spans="1:15" ht="34.5" customHeight="1" x14ac:dyDescent="0.25">
      <c r="A44" s="866" t="s">
        <v>76</v>
      </c>
      <c r="B44" s="867"/>
      <c r="C44" s="867"/>
      <c r="D44" s="867"/>
      <c r="E44" s="867"/>
      <c r="F44" s="867"/>
      <c r="G44" s="27">
        <v>0.95</v>
      </c>
      <c r="H44" s="27">
        <v>0.95</v>
      </c>
      <c r="I44" s="27">
        <v>0.95</v>
      </c>
      <c r="J44" s="27">
        <v>0.95</v>
      </c>
      <c r="K44" s="27" t="e">
        <f>+L66</f>
        <v>#DIV/0!</v>
      </c>
      <c r="L44" s="27" t="e">
        <f>+L66</f>
        <v>#DIV/0!</v>
      </c>
      <c r="M44" s="27"/>
    </row>
    <row r="45" spans="1:15" x14ac:dyDescent="0.25">
      <c r="A45" s="5"/>
    </row>
    <row r="46" spans="1:15" ht="17.5" x14ac:dyDescent="0.25">
      <c r="A46" s="5"/>
      <c r="B46" s="28"/>
      <c r="C46" s="28"/>
      <c r="D46" s="28"/>
      <c r="G46" s="1165">
        <f ca="1">G46:M60</f>
        <v>0</v>
      </c>
      <c r="H46" s="1165" t="s">
        <v>78</v>
      </c>
      <c r="I46" s="1165"/>
      <c r="J46" s="1165"/>
      <c r="K46" s="1165"/>
      <c r="L46" s="1165"/>
      <c r="M46" s="1165"/>
      <c r="N46" s="1165" t="s">
        <v>79</v>
      </c>
      <c r="O46" s="1165"/>
    </row>
    <row r="47" spans="1:15" ht="17.5" x14ac:dyDescent="0.25">
      <c r="A47" s="5"/>
      <c r="G47" s="1165"/>
      <c r="H47" s="1222" t="s">
        <v>495</v>
      </c>
      <c r="I47" s="1350" t="s">
        <v>496</v>
      </c>
      <c r="J47" s="1350"/>
      <c r="K47" s="1350"/>
      <c r="L47" s="1350"/>
      <c r="M47" s="1222" t="s">
        <v>81</v>
      </c>
      <c r="N47" s="1165"/>
      <c r="O47" s="1165"/>
    </row>
    <row r="48" spans="1:15" ht="53.25" customHeight="1" x14ac:dyDescent="0.3">
      <c r="B48" s="29"/>
      <c r="C48" s="30"/>
      <c r="D48" s="30"/>
      <c r="G48" s="1165"/>
      <c r="H48" s="1222"/>
      <c r="I48" s="139" t="s">
        <v>497</v>
      </c>
      <c r="J48" s="139" t="s">
        <v>498</v>
      </c>
      <c r="K48" s="139" t="s">
        <v>499</v>
      </c>
      <c r="L48" s="140" t="s">
        <v>500</v>
      </c>
      <c r="M48" s="1222"/>
      <c r="N48" s="1165"/>
      <c r="O48" s="1165"/>
    </row>
    <row r="49" spans="2:16" ht="84" customHeight="1" x14ac:dyDescent="0.3">
      <c r="B49" s="29"/>
      <c r="C49" s="30"/>
      <c r="D49" s="30"/>
      <c r="G49" s="1326">
        <v>2012</v>
      </c>
      <c r="H49" s="45" t="s">
        <v>501</v>
      </c>
      <c r="I49" s="45">
        <v>90</v>
      </c>
      <c r="J49" s="45">
        <v>26</v>
      </c>
      <c r="K49" s="45">
        <v>0</v>
      </c>
      <c r="L49" s="45">
        <v>6</v>
      </c>
      <c r="M49" s="45">
        <f>SUM(I49:L49)</f>
        <v>122</v>
      </c>
      <c r="N49" s="1327" t="s">
        <v>504</v>
      </c>
      <c r="O49" s="1328"/>
    </row>
    <row r="50" spans="2:16" ht="84" customHeight="1" x14ac:dyDescent="0.3">
      <c r="B50" s="29"/>
      <c r="C50" s="30"/>
      <c r="D50" s="30"/>
      <c r="G50" s="1326"/>
      <c r="H50" s="45" t="s">
        <v>502</v>
      </c>
      <c r="I50" s="45">
        <v>83</v>
      </c>
      <c r="J50" s="45">
        <v>26</v>
      </c>
      <c r="K50" s="45">
        <v>0</v>
      </c>
      <c r="L50" s="45">
        <v>4</v>
      </c>
      <c r="M50" s="45">
        <f>SUM(I50:L50)</f>
        <v>113</v>
      </c>
      <c r="N50" s="1329"/>
      <c r="O50" s="1330"/>
    </row>
    <row r="51" spans="2:16" ht="84" customHeight="1" x14ac:dyDescent="0.3">
      <c r="B51" s="29"/>
      <c r="C51" s="30"/>
      <c r="D51" s="30"/>
      <c r="G51" s="1326"/>
      <c r="H51" s="272" t="s">
        <v>503</v>
      </c>
      <c r="I51" s="141">
        <f>+I50/I49</f>
        <v>0.92222222222222228</v>
      </c>
      <c r="J51" s="141">
        <f>+J50/J49</f>
        <v>1</v>
      </c>
      <c r="K51" s="141" t="e">
        <f>+K50/K49</f>
        <v>#DIV/0!</v>
      </c>
      <c r="L51" s="141">
        <f>+L50/L49</f>
        <v>0.66666666666666663</v>
      </c>
      <c r="M51" s="141">
        <f>+M50/M49</f>
        <v>0.92622950819672134</v>
      </c>
      <c r="N51" s="1331"/>
      <c r="O51" s="1332"/>
    </row>
    <row r="52" spans="2:16" ht="60" customHeight="1" x14ac:dyDescent="0.3">
      <c r="B52" s="29"/>
      <c r="C52" s="30"/>
      <c r="D52" s="30"/>
      <c r="G52" s="1326">
        <v>2013</v>
      </c>
      <c r="H52" s="45" t="s">
        <v>501</v>
      </c>
      <c r="I52" s="45">
        <v>96</v>
      </c>
      <c r="J52" s="45">
        <v>26</v>
      </c>
      <c r="K52" s="45">
        <v>0</v>
      </c>
      <c r="L52" s="45">
        <v>0</v>
      </c>
      <c r="M52" s="45">
        <f>SUM(I52:L52)</f>
        <v>122</v>
      </c>
      <c r="N52" s="1327" t="s">
        <v>505</v>
      </c>
      <c r="O52" s="1328"/>
    </row>
    <row r="53" spans="2:16" ht="60" customHeight="1" x14ac:dyDescent="0.3">
      <c r="B53" s="29"/>
      <c r="C53" s="30"/>
      <c r="D53" s="30"/>
      <c r="G53" s="1326"/>
      <c r="H53" s="45" t="s">
        <v>502</v>
      </c>
      <c r="I53" s="45">
        <v>95</v>
      </c>
      <c r="J53" s="45">
        <v>24</v>
      </c>
      <c r="K53" s="45">
        <v>0</v>
      </c>
      <c r="L53" s="45">
        <v>0</v>
      </c>
      <c r="M53" s="45">
        <f>SUM(I53:L53)</f>
        <v>119</v>
      </c>
      <c r="N53" s="1329"/>
      <c r="O53" s="1330"/>
    </row>
    <row r="54" spans="2:16" ht="60" customHeight="1" x14ac:dyDescent="0.3">
      <c r="B54" s="29"/>
      <c r="C54" s="30"/>
      <c r="D54" s="30"/>
      <c r="G54" s="1326"/>
      <c r="H54" s="272" t="s">
        <v>503</v>
      </c>
      <c r="I54" s="141">
        <f>+I53/I52</f>
        <v>0.98958333333333337</v>
      </c>
      <c r="J54" s="141">
        <f>+J53/J52</f>
        <v>0.92307692307692313</v>
      </c>
      <c r="K54" s="141" t="e">
        <f>+K53/K52</f>
        <v>#DIV/0!</v>
      </c>
      <c r="L54" s="141" t="e">
        <f>+L53/L52</f>
        <v>#DIV/0!</v>
      </c>
      <c r="M54" s="141">
        <f>+M53/M52</f>
        <v>0.97540983606557374</v>
      </c>
      <c r="N54" s="1331"/>
      <c r="O54" s="1332"/>
    </row>
    <row r="55" spans="2:16" ht="85.5" customHeight="1" x14ac:dyDescent="0.3">
      <c r="B55" s="29"/>
      <c r="C55" s="30"/>
      <c r="D55" s="30"/>
      <c r="G55" s="1326">
        <v>2014</v>
      </c>
      <c r="H55" s="45" t="s">
        <v>501</v>
      </c>
      <c r="I55" s="245">
        <v>32</v>
      </c>
      <c r="J55" s="245">
        <v>32</v>
      </c>
      <c r="K55" s="245">
        <v>0</v>
      </c>
      <c r="L55" s="245">
        <v>0</v>
      </c>
      <c r="M55" s="45">
        <f>SUM(I55:L55)</f>
        <v>64</v>
      </c>
      <c r="N55" s="1360" t="s">
        <v>569</v>
      </c>
      <c r="O55" s="1361"/>
    </row>
    <row r="56" spans="2:16" ht="79.5" customHeight="1" x14ac:dyDescent="0.3">
      <c r="B56" s="29"/>
      <c r="C56" s="30"/>
      <c r="D56" s="30"/>
      <c r="G56" s="1326"/>
      <c r="H56" s="45" t="s">
        <v>502</v>
      </c>
      <c r="I56" s="245">
        <v>32</v>
      </c>
      <c r="J56" s="245">
        <v>29</v>
      </c>
      <c r="K56" s="245">
        <v>0</v>
      </c>
      <c r="L56" s="245">
        <v>0</v>
      </c>
      <c r="M56" s="45">
        <f>SUM(I56:L56)</f>
        <v>61</v>
      </c>
      <c r="N56" s="1362"/>
      <c r="O56" s="1363"/>
    </row>
    <row r="57" spans="2:16" ht="75" customHeight="1" x14ac:dyDescent="0.3">
      <c r="B57" s="29"/>
      <c r="C57" s="30"/>
      <c r="D57" s="30"/>
      <c r="G57" s="1326"/>
      <c r="H57" s="272" t="s">
        <v>503</v>
      </c>
      <c r="I57" s="141">
        <f>+I56/I55</f>
        <v>1</v>
      </c>
      <c r="J57" s="141">
        <f>+J56/J55</f>
        <v>0.90625</v>
      </c>
      <c r="K57" s="141" t="e">
        <f>+K56/K55</f>
        <v>#DIV/0!</v>
      </c>
      <c r="L57" s="141" t="e">
        <f>+L56/L55</f>
        <v>#DIV/0!</v>
      </c>
      <c r="M57" s="141">
        <f>+M56/M55</f>
        <v>0.953125</v>
      </c>
      <c r="N57" s="1364"/>
      <c r="O57" s="1365"/>
    </row>
    <row r="58" spans="2:16" ht="46.5" customHeight="1" x14ac:dyDescent="0.3">
      <c r="B58" s="29"/>
      <c r="C58" s="30"/>
      <c r="D58" s="30"/>
      <c r="G58" s="1326">
        <v>2015</v>
      </c>
      <c r="H58" s="45" t="s">
        <v>501</v>
      </c>
      <c r="I58" s="245">
        <v>36</v>
      </c>
      <c r="J58" s="245">
        <v>15</v>
      </c>
      <c r="K58" s="245">
        <v>0</v>
      </c>
      <c r="L58" s="245">
        <v>0</v>
      </c>
      <c r="M58" s="45">
        <f>SUM(I58:L58)</f>
        <v>51</v>
      </c>
      <c r="N58" s="1360" t="s">
        <v>788</v>
      </c>
      <c r="O58" s="1361"/>
      <c r="P58" s="158"/>
    </row>
    <row r="59" spans="2:16" ht="46.5" customHeight="1" x14ac:dyDescent="0.3">
      <c r="B59" s="29"/>
      <c r="C59" s="30"/>
      <c r="D59" s="30"/>
      <c r="G59" s="1326"/>
      <c r="H59" s="45" t="s">
        <v>502</v>
      </c>
      <c r="I59" s="245">
        <v>36</v>
      </c>
      <c r="J59" s="245">
        <v>15</v>
      </c>
      <c r="K59" s="245">
        <v>0</v>
      </c>
      <c r="L59" s="245">
        <v>0</v>
      </c>
      <c r="M59" s="45">
        <f>SUM(I59:L59)</f>
        <v>51</v>
      </c>
      <c r="N59" s="1362"/>
      <c r="O59" s="1363"/>
      <c r="P59" s="158"/>
    </row>
    <row r="60" spans="2:16" ht="46.5" customHeight="1" x14ac:dyDescent="0.3">
      <c r="B60" s="29"/>
      <c r="C60" s="30"/>
      <c r="D60" s="30"/>
      <c r="G60" s="1326"/>
      <c r="H60" s="272" t="s">
        <v>503</v>
      </c>
      <c r="I60" s="141">
        <f>+I59/I58</f>
        <v>1</v>
      </c>
      <c r="J60" s="141">
        <f>+J59/J58</f>
        <v>1</v>
      </c>
      <c r="K60" s="141" t="e">
        <f>+K59/K58</f>
        <v>#DIV/0!</v>
      </c>
      <c r="L60" s="141" t="e">
        <f>+L59/L58</f>
        <v>#DIV/0!</v>
      </c>
      <c r="M60" s="141">
        <f>+M59/M58</f>
        <v>1</v>
      </c>
      <c r="N60" s="1364"/>
      <c r="O60" s="1365"/>
      <c r="P60" s="158"/>
    </row>
    <row r="61" spans="2:16" ht="46.5" customHeight="1" x14ac:dyDescent="0.3">
      <c r="B61" s="29"/>
      <c r="C61" s="30"/>
      <c r="D61" s="30"/>
      <c r="G61" s="1326">
        <v>2016</v>
      </c>
      <c r="H61" s="45" t="s">
        <v>501</v>
      </c>
      <c r="I61" s="245">
        <v>33</v>
      </c>
      <c r="J61" s="245">
        <v>22</v>
      </c>
      <c r="K61" s="245">
        <v>0</v>
      </c>
      <c r="L61" s="245">
        <v>0</v>
      </c>
      <c r="M61" s="45">
        <f>SUM(I61:L61)</f>
        <v>55</v>
      </c>
      <c r="N61" s="1360" t="s">
        <v>837</v>
      </c>
      <c r="O61" s="1361"/>
      <c r="P61" s="158"/>
    </row>
    <row r="62" spans="2:16" ht="46.5" customHeight="1" x14ac:dyDescent="0.3">
      <c r="B62" s="29"/>
      <c r="C62" s="30"/>
      <c r="D62" s="30"/>
      <c r="G62" s="1326"/>
      <c r="H62" s="45" t="s">
        <v>502</v>
      </c>
      <c r="I62" s="245">
        <v>9</v>
      </c>
      <c r="J62" s="245"/>
      <c r="K62" s="245"/>
      <c r="L62" s="245"/>
      <c r="M62" s="45">
        <f>SUM(I62:L62)</f>
        <v>9</v>
      </c>
      <c r="N62" s="1362"/>
      <c r="O62" s="1363"/>
      <c r="P62" s="158"/>
    </row>
    <row r="63" spans="2:16" ht="46.5" customHeight="1" x14ac:dyDescent="0.3">
      <c r="B63" s="29"/>
      <c r="C63" s="30"/>
      <c r="D63" s="30"/>
      <c r="G63" s="1326"/>
      <c r="H63" s="272" t="s">
        <v>503</v>
      </c>
      <c r="I63" s="141">
        <f>+I62/I61</f>
        <v>0.27272727272727271</v>
      </c>
      <c r="J63" s="141">
        <f>+J62/J61</f>
        <v>0</v>
      </c>
      <c r="K63" s="141" t="e">
        <f>+K62/K61</f>
        <v>#DIV/0!</v>
      </c>
      <c r="L63" s="141" t="e">
        <f>+L62/L61</f>
        <v>#DIV/0!</v>
      </c>
      <c r="M63" s="141">
        <f>+M62/M61</f>
        <v>0.16363636363636364</v>
      </c>
      <c r="N63" s="1364"/>
      <c r="O63" s="1365"/>
      <c r="P63" s="158"/>
    </row>
    <row r="64" spans="2:16" ht="46.5" customHeight="1" x14ac:dyDescent="0.3">
      <c r="B64" s="29"/>
      <c r="C64" s="30"/>
      <c r="D64" s="30"/>
      <c r="G64" s="1326">
        <v>2017</v>
      </c>
      <c r="H64" s="45" t="s">
        <v>501</v>
      </c>
      <c r="I64" s="245"/>
      <c r="J64" s="245"/>
      <c r="K64" s="245">
        <v>0</v>
      </c>
      <c r="L64" s="245">
        <v>0</v>
      </c>
      <c r="M64" s="45">
        <f>SUM(I64:L64)</f>
        <v>0</v>
      </c>
      <c r="N64" s="1360" t="s">
        <v>837</v>
      </c>
      <c r="O64" s="1361"/>
      <c r="P64" s="158"/>
    </row>
    <row r="65" spans="1:16" ht="46.5" customHeight="1" x14ac:dyDescent="0.3">
      <c r="B65" s="29"/>
      <c r="C65" s="30"/>
      <c r="D65" s="30"/>
      <c r="G65" s="1326"/>
      <c r="H65" s="45" t="s">
        <v>502</v>
      </c>
      <c r="I65" s="245"/>
      <c r="J65" s="245"/>
      <c r="K65" s="245"/>
      <c r="L65" s="245"/>
      <c r="M65" s="45">
        <f>SUM(I65:L65)</f>
        <v>0</v>
      </c>
      <c r="N65" s="1362"/>
      <c r="O65" s="1363"/>
      <c r="P65" s="158"/>
    </row>
    <row r="66" spans="1:16" ht="46.5" customHeight="1" x14ac:dyDescent="0.3">
      <c r="B66" s="29"/>
      <c r="C66" s="30"/>
      <c r="D66" s="30"/>
      <c r="G66" s="1326"/>
      <c r="H66" s="438" t="s">
        <v>503</v>
      </c>
      <c r="I66" s="141" t="e">
        <f>+I65/I64</f>
        <v>#DIV/0!</v>
      </c>
      <c r="J66" s="141" t="e">
        <f>+J65/J64</f>
        <v>#DIV/0!</v>
      </c>
      <c r="K66" s="141" t="e">
        <f>+K65/K64</f>
        <v>#DIV/0!</v>
      </c>
      <c r="L66" s="141" t="e">
        <f>+L65/L64</f>
        <v>#DIV/0!</v>
      </c>
      <c r="M66" s="141" t="e">
        <f>+M65/M64</f>
        <v>#DIV/0!</v>
      </c>
      <c r="N66" s="1364"/>
      <c r="O66" s="1365"/>
      <c r="P66" s="158"/>
    </row>
    <row r="67" spans="1:16" ht="15" x14ac:dyDescent="0.3">
      <c r="B67" s="29"/>
      <c r="C67" s="30"/>
      <c r="D67" s="30"/>
    </row>
    <row r="70" spans="1:16" ht="29.25" customHeight="1" x14ac:dyDescent="0.25">
      <c r="A70" s="1334" t="str">
        <f>+D12</f>
        <v xml:space="preserve">PORCENTAJE (%) DE ANÁLISIS RESUELTOS EN UN TIEMPO IGUAL O INFERIOR A LO REGLAMENTADO EN EL SGC: 
*MICROBIOLÓGICOS Y/O POTABLES ELABORADOS EN UN TIEMPO MÁXIMO DE SIETE (7) DÍAS HÁBILES.
*CONCESIONES DE AGUAS Y/O PERMISOS DE VERTIMIENTOS ELABORADOS EN UN TIEMPO MÁXIMO DE DIEZ (10) DÍAS HÁBILES.
</v>
      </c>
      <c r="B70" s="1335"/>
      <c r="C70" s="1335"/>
      <c r="D70" s="1335"/>
      <c r="E70" s="1335"/>
      <c r="F70" s="1335"/>
      <c r="G70" s="1335"/>
      <c r="H70" s="1335"/>
      <c r="I70" s="1335"/>
      <c r="J70" s="1335"/>
      <c r="K70" s="1335"/>
      <c r="L70" s="1335"/>
      <c r="M70" s="1335"/>
      <c r="N70" s="1335"/>
      <c r="O70" s="1336"/>
    </row>
    <row r="71" spans="1:16" x14ac:dyDescent="0.25">
      <c r="A71" s="5"/>
    </row>
    <row r="72" spans="1:16" ht="43.5" customHeight="1" x14ac:dyDescent="0.25">
      <c r="A72" s="26"/>
      <c r="G72" s="39">
        <v>2010</v>
      </c>
      <c r="H72" s="39">
        <v>2011</v>
      </c>
      <c r="I72" s="39">
        <v>2012</v>
      </c>
      <c r="J72" s="39">
        <v>2013</v>
      </c>
      <c r="K72" s="39">
        <v>2014</v>
      </c>
      <c r="L72" s="39">
        <v>2015</v>
      </c>
      <c r="M72" s="39">
        <v>2016</v>
      </c>
    </row>
    <row r="73" spans="1:16" ht="58.5" customHeight="1" x14ac:dyDescent="0.25">
      <c r="A73" s="856" t="s">
        <v>536</v>
      </c>
      <c r="B73" s="857"/>
      <c r="C73" s="857"/>
      <c r="D73" s="857"/>
      <c r="E73" s="857"/>
      <c r="F73" s="857"/>
      <c r="G73" s="27">
        <v>0.97</v>
      </c>
      <c r="H73" s="27">
        <v>0.91</v>
      </c>
      <c r="I73" s="152">
        <v>0.99509999999999998</v>
      </c>
      <c r="J73" s="152">
        <v>0.73709999999999998</v>
      </c>
      <c r="K73" s="157">
        <v>1</v>
      </c>
      <c r="L73" s="157">
        <f>+M107</f>
        <v>0.89495086411385971</v>
      </c>
      <c r="M73" s="157">
        <f>+M122</f>
        <v>0.6426380368098159</v>
      </c>
    </row>
    <row r="74" spans="1:16" ht="58.5" customHeight="1" x14ac:dyDescent="0.25">
      <c r="A74" s="856" t="s">
        <v>537</v>
      </c>
      <c r="B74" s="857"/>
      <c r="C74" s="857"/>
      <c r="D74" s="857"/>
      <c r="E74" s="857"/>
      <c r="F74" s="857"/>
      <c r="G74" s="27">
        <v>1</v>
      </c>
      <c r="H74" s="27">
        <v>0.96</v>
      </c>
      <c r="I74" s="27">
        <v>0.94</v>
      </c>
      <c r="J74" s="27">
        <v>0.68</v>
      </c>
      <c r="K74" s="157">
        <v>1</v>
      </c>
      <c r="L74" s="157">
        <v>0.83718371837183714</v>
      </c>
      <c r="M74" s="157">
        <f>+M135</f>
        <v>0.58307926829268297</v>
      </c>
    </row>
    <row r="75" spans="1:16" ht="58.5" customHeight="1" x14ac:dyDescent="0.25">
      <c r="A75" s="856" t="s">
        <v>535</v>
      </c>
      <c r="B75" s="857"/>
      <c r="C75" s="857"/>
      <c r="D75" s="857"/>
      <c r="E75" s="857"/>
      <c r="F75" s="857"/>
      <c r="G75" s="27">
        <v>0.97</v>
      </c>
      <c r="H75" s="27">
        <v>0.92</v>
      </c>
      <c r="I75" s="27">
        <v>0.97</v>
      </c>
      <c r="J75" s="27">
        <v>0.72</v>
      </c>
      <c r="K75" s="157">
        <v>1</v>
      </c>
      <c r="L75" s="157">
        <v>0.8813471502590674</v>
      </c>
      <c r="M75" s="157">
        <f>+M148</f>
        <v>0.62270408163265301</v>
      </c>
    </row>
    <row r="76" spans="1:16" ht="39" customHeight="1" x14ac:dyDescent="0.25">
      <c r="A76" s="856" t="s">
        <v>76</v>
      </c>
      <c r="B76" s="857"/>
      <c r="C76" s="857"/>
      <c r="D76" s="857"/>
      <c r="E76" s="857"/>
      <c r="F76" s="857"/>
      <c r="G76" s="27">
        <v>0.9</v>
      </c>
      <c r="H76" s="27">
        <v>0.9</v>
      </c>
      <c r="I76" s="27">
        <v>0.9</v>
      </c>
      <c r="J76" s="27">
        <v>0.9</v>
      </c>
      <c r="K76" s="27">
        <v>0.9</v>
      </c>
      <c r="L76" s="27">
        <v>0.9</v>
      </c>
      <c r="M76" s="27">
        <v>0.9</v>
      </c>
    </row>
    <row r="77" spans="1:16" x14ac:dyDescent="0.25">
      <c r="A77" s="5"/>
    </row>
    <row r="78" spans="1:16" ht="17.5" x14ac:dyDescent="0.25">
      <c r="A78" s="5"/>
      <c r="B78" s="28"/>
      <c r="C78" s="28"/>
      <c r="D78" s="28"/>
      <c r="G78" s="1165" t="s">
        <v>77</v>
      </c>
      <c r="H78" s="1165"/>
      <c r="I78" s="1165" t="s">
        <v>78</v>
      </c>
      <c r="J78" s="1165"/>
      <c r="K78" s="1165"/>
      <c r="L78" s="1165"/>
      <c r="M78" s="1165"/>
      <c r="N78" s="1165" t="s">
        <v>79</v>
      </c>
      <c r="O78" s="1165"/>
    </row>
    <row r="79" spans="1:16" ht="140" x14ac:dyDescent="0.25">
      <c r="A79" s="5"/>
      <c r="G79" s="1165"/>
      <c r="H79" s="1165"/>
      <c r="I79" s="1222" t="s">
        <v>538</v>
      </c>
      <c r="J79" s="1222"/>
      <c r="K79" s="270" t="s">
        <v>541</v>
      </c>
      <c r="L79" s="270" t="s">
        <v>539</v>
      </c>
      <c r="M79" s="270" t="s">
        <v>540</v>
      </c>
      <c r="N79" s="1165"/>
      <c r="O79" s="1165"/>
    </row>
    <row r="80" spans="1:16" ht="60" customHeight="1" x14ac:dyDescent="0.3">
      <c r="B80" s="29"/>
      <c r="C80" s="30"/>
      <c r="D80" s="30"/>
      <c r="G80" s="859">
        <v>2010</v>
      </c>
      <c r="H80" s="859"/>
      <c r="I80" s="860" t="s">
        <v>506</v>
      </c>
      <c r="J80" s="860"/>
      <c r="K80" s="267">
        <v>1587</v>
      </c>
      <c r="L80" s="267">
        <v>1641</v>
      </c>
      <c r="M80" s="142">
        <f t="shared" ref="M80:M111" si="0">+K80/L80</f>
        <v>0.96709323583180984</v>
      </c>
      <c r="N80" s="860" t="s">
        <v>508</v>
      </c>
      <c r="O80" s="860"/>
    </row>
    <row r="81" spans="2:15" ht="60" customHeight="1" x14ac:dyDescent="0.3">
      <c r="B81" s="29"/>
      <c r="C81" s="30"/>
      <c r="D81" s="30"/>
      <c r="G81" s="859"/>
      <c r="H81" s="859"/>
      <c r="I81" s="860" t="s">
        <v>507</v>
      </c>
      <c r="J81" s="860"/>
      <c r="K81" s="267">
        <v>82</v>
      </c>
      <c r="L81" s="267">
        <v>82</v>
      </c>
      <c r="M81" s="142">
        <f t="shared" si="0"/>
        <v>1</v>
      </c>
      <c r="N81" s="860"/>
      <c r="O81" s="860"/>
    </row>
    <row r="82" spans="2:15" ht="30" customHeight="1" x14ac:dyDescent="0.3">
      <c r="B82" s="29"/>
      <c r="C82" s="30"/>
      <c r="D82" s="30"/>
      <c r="G82" s="859"/>
      <c r="H82" s="859"/>
      <c r="I82" s="1325" t="s">
        <v>81</v>
      </c>
      <c r="J82" s="1325"/>
      <c r="K82" s="143">
        <f>SUM(K80:K81)</f>
        <v>1669</v>
      </c>
      <c r="L82" s="143">
        <f>SUM(L80:L81)</f>
        <v>1723</v>
      </c>
      <c r="M82" s="144">
        <f t="shared" si="0"/>
        <v>0.96865931514799763</v>
      </c>
      <c r="N82" s="860"/>
      <c r="O82" s="860"/>
    </row>
    <row r="83" spans="2:15" ht="60" customHeight="1" x14ac:dyDescent="0.3">
      <c r="B83" s="29"/>
      <c r="C83" s="30"/>
      <c r="D83" s="30"/>
      <c r="G83" s="859">
        <v>2011</v>
      </c>
      <c r="H83" s="859"/>
      <c r="I83" s="860" t="s">
        <v>506</v>
      </c>
      <c r="J83" s="860"/>
      <c r="K83" s="267">
        <v>1682</v>
      </c>
      <c r="L83" s="267">
        <v>1842</v>
      </c>
      <c r="M83" s="142">
        <f t="shared" si="0"/>
        <v>0.91313789359391961</v>
      </c>
      <c r="N83" s="860" t="s">
        <v>509</v>
      </c>
      <c r="O83" s="860"/>
    </row>
    <row r="84" spans="2:15" ht="60" customHeight="1" x14ac:dyDescent="0.3">
      <c r="B84" s="29"/>
      <c r="C84" s="30"/>
      <c r="D84" s="30"/>
      <c r="G84" s="859"/>
      <c r="H84" s="859"/>
      <c r="I84" s="860" t="s">
        <v>507</v>
      </c>
      <c r="J84" s="860"/>
      <c r="K84" s="267">
        <v>482</v>
      </c>
      <c r="L84" s="267">
        <v>502</v>
      </c>
      <c r="M84" s="142">
        <f t="shared" si="0"/>
        <v>0.96015936254980083</v>
      </c>
      <c r="N84" s="860"/>
      <c r="O84" s="860"/>
    </row>
    <row r="85" spans="2:15" ht="37.5" customHeight="1" x14ac:dyDescent="0.3">
      <c r="B85" s="29"/>
      <c r="C85" s="30"/>
      <c r="D85" s="30"/>
      <c r="G85" s="859"/>
      <c r="H85" s="859"/>
      <c r="I85" s="1325" t="s">
        <v>81</v>
      </c>
      <c r="J85" s="1325"/>
      <c r="K85" s="143">
        <f>SUM(K83:K84)</f>
        <v>2164</v>
      </c>
      <c r="L85" s="143">
        <f>SUM(L83:L84)</f>
        <v>2344</v>
      </c>
      <c r="M85" s="144">
        <f t="shared" si="0"/>
        <v>0.92320819112627983</v>
      </c>
      <c r="N85" s="860"/>
      <c r="O85" s="860"/>
    </row>
    <row r="86" spans="2:15" ht="60" customHeight="1" x14ac:dyDescent="0.3">
      <c r="B86" s="29"/>
      <c r="C86" s="30"/>
      <c r="D86" s="30"/>
      <c r="G86" s="859">
        <v>2012</v>
      </c>
      <c r="H86" s="859"/>
      <c r="I86" s="860" t="s">
        <v>506</v>
      </c>
      <c r="J86" s="860"/>
      <c r="K86" s="267">
        <v>605</v>
      </c>
      <c r="L86" s="267">
        <v>608</v>
      </c>
      <c r="M86" s="145">
        <f t="shared" si="0"/>
        <v>0.99506578947368418</v>
      </c>
      <c r="N86" s="860" t="s">
        <v>509</v>
      </c>
      <c r="O86" s="860"/>
    </row>
    <row r="87" spans="2:15" ht="60" customHeight="1" x14ac:dyDescent="0.3">
      <c r="B87" s="29"/>
      <c r="C87" s="30"/>
      <c r="D87" s="30"/>
      <c r="G87" s="859"/>
      <c r="H87" s="859"/>
      <c r="I87" s="860" t="s">
        <v>507</v>
      </c>
      <c r="J87" s="860"/>
      <c r="K87" s="267">
        <v>406</v>
      </c>
      <c r="L87" s="267">
        <v>434</v>
      </c>
      <c r="M87" s="142">
        <f t="shared" si="0"/>
        <v>0.93548387096774188</v>
      </c>
      <c r="N87" s="860"/>
      <c r="O87" s="860"/>
    </row>
    <row r="88" spans="2:15" ht="40.5" customHeight="1" x14ac:dyDescent="0.3">
      <c r="B88" s="29"/>
      <c r="C88" s="30"/>
      <c r="D88" s="30"/>
      <c r="G88" s="859"/>
      <c r="H88" s="859"/>
      <c r="I88" s="1325" t="s">
        <v>81</v>
      </c>
      <c r="J88" s="1325"/>
      <c r="K88" s="143">
        <f>SUM(K86:K87)</f>
        <v>1011</v>
      </c>
      <c r="L88" s="143">
        <f>SUM(L86:L87)</f>
        <v>1042</v>
      </c>
      <c r="M88" s="144">
        <f t="shared" si="0"/>
        <v>0.97024952015355082</v>
      </c>
      <c r="N88" s="860"/>
      <c r="O88" s="860"/>
    </row>
    <row r="89" spans="2:15" ht="60" customHeight="1" x14ac:dyDescent="0.3">
      <c r="B89" s="29"/>
      <c r="C89" s="30"/>
      <c r="D89" s="30"/>
      <c r="G89" s="859">
        <v>2013</v>
      </c>
      <c r="H89" s="859"/>
      <c r="I89" s="860" t="s">
        <v>506</v>
      </c>
      <c r="J89" s="860"/>
      <c r="K89" s="267">
        <v>925</v>
      </c>
      <c r="L89" s="267">
        <v>1255</v>
      </c>
      <c r="M89" s="145">
        <f t="shared" si="0"/>
        <v>0.73705179282868527</v>
      </c>
      <c r="N89" s="860" t="s">
        <v>510</v>
      </c>
      <c r="O89" s="860"/>
    </row>
    <row r="90" spans="2:15" ht="70.5" customHeight="1" x14ac:dyDescent="0.3">
      <c r="B90" s="29"/>
      <c r="C90" s="30"/>
      <c r="D90" s="30"/>
      <c r="G90" s="859"/>
      <c r="H90" s="859"/>
      <c r="I90" s="860" t="s">
        <v>507</v>
      </c>
      <c r="J90" s="860"/>
      <c r="K90" s="267">
        <v>547</v>
      </c>
      <c r="L90" s="267">
        <v>803</v>
      </c>
      <c r="M90" s="142">
        <f t="shared" si="0"/>
        <v>0.68119551681195512</v>
      </c>
      <c r="N90" s="860"/>
      <c r="O90" s="860"/>
    </row>
    <row r="91" spans="2:15" ht="40.5" customHeight="1" x14ac:dyDescent="0.3">
      <c r="B91" s="29"/>
      <c r="C91" s="30"/>
      <c r="D91" s="30"/>
      <c r="G91" s="859"/>
      <c r="H91" s="859"/>
      <c r="I91" s="1325" t="s">
        <v>81</v>
      </c>
      <c r="J91" s="1325"/>
      <c r="K91" s="143">
        <f>SUM(K89:K90)</f>
        <v>1472</v>
      </c>
      <c r="L91" s="143">
        <f>SUM(L89:L90)</f>
        <v>2058</v>
      </c>
      <c r="M91" s="144">
        <f t="shared" si="0"/>
        <v>0.71525753158406224</v>
      </c>
      <c r="N91" s="860"/>
      <c r="O91" s="860"/>
    </row>
    <row r="92" spans="2:15" ht="29.25" hidden="1" customHeight="1" x14ac:dyDescent="0.3">
      <c r="B92" s="29"/>
      <c r="C92" s="30"/>
      <c r="D92" s="30"/>
      <c r="G92" s="273">
        <v>2014</v>
      </c>
      <c r="H92" s="43" t="s">
        <v>87</v>
      </c>
      <c r="J92" s="274"/>
      <c r="K92" s="267">
        <v>90</v>
      </c>
      <c r="L92" s="267">
        <v>90</v>
      </c>
      <c r="M92" s="145">
        <f t="shared" si="0"/>
        <v>1</v>
      </c>
      <c r="N92" s="275"/>
      <c r="O92" s="275"/>
    </row>
    <row r="93" spans="2:15" ht="29.25" hidden="1" customHeight="1" x14ac:dyDescent="0.3">
      <c r="B93" s="29"/>
      <c r="C93" s="30"/>
      <c r="D93" s="30"/>
      <c r="G93" s="273"/>
      <c r="H93" s="43" t="s">
        <v>88</v>
      </c>
      <c r="I93" s="274"/>
      <c r="J93" s="274"/>
      <c r="K93" s="267">
        <v>71</v>
      </c>
      <c r="L93" s="267">
        <v>71</v>
      </c>
      <c r="M93" s="145">
        <f t="shared" si="0"/>
        <v>1</v>
      </c>
      <c r="N93" s="275"/>
      <c r="O93" s="275"/>
    </row>
    <row r="94" spans="2:15" ht="29.25" hidden="1" customHeight="1" x14ac:dyDescent="0.3">
      <c r="B94" s="29"/>
      <c r="C94" s="30"/>
      <c r="D94" s="30"/>
      <c r="G94" s="273"/>
      <c r="H94" s="43" t="s">
        <v>89</v>
      </c>
      <c r="I94" s="274"/>
      <c r="J94" s="274"/>
      <c r="K94" s="267">
        <v>89</v>
      </c>
      <c r="L94" s="267">
        <v>89</v>
      </c>
      <c r="M94" s="145">
        <f t="shared" si="0"/>
        <v>1</v>
      </c>
      <c r="N94" s="275"/>
      <c r="O94" s="275"/>
    </row>
    <row r="95" spans="2:15" ht="29.25" hidden="1" customHeight="1" x14ac:dyDescent="0.3">
      <c r="B95" s="29"/>
      <c r="C95" s="30"/>
      <c r="D95" s="30"/>
      <c r="G95" s="273"/>
      <c r="H95" s="43" t="s">
        <v>90</v>
      </c>
      <c r="I95" s="274"/>
      <c r="J95" s="274"/>
      <c r="K95" s="267">
        <v>160</v>
      </c>
      <c r="L95" s="267">
        <v>160</v>
      </c>
      <c r="M95" s="145">
        <f t="shared" si="0"/>
        <v>1</v>
      </c>
      <c r="N95" s="275"/>
      <c r="O95" s="275"/>
    </row>
    <row r="96" spans="2:15" ht="29.25" hidden="1" customHeight="1" x14ac:dyDescent="0.3">
      <c r="B96" s="29"/>
      <c r="C96" s="30"/>
      <c r="D96" s="30"/>
      <c r="G96" s="273"/>
      <c r="H96" s="43" t="s">
        <v>91</v>
      </c>
      <c r="I96" s="274"/>
      <c r="J96" s="274"/>
      <c r="K96" s="267">
        <v>95</v>
      </c>
      <c r="L96" s="267">
        <v>95</v>
      </c>
      <c r="M96" s="145">
        <f t="shared" si="0"/>
        <v>1</v>
      </c>
      <c r="N96" s="275"/>
      <c r="O96" s="275"/>
    </row>
    <row r="97" spans="2:15" ht="29.25" hidden="1" customHeight="1" x14ac:dyDescent="0.3">
      <c r="B97" s="29"/>
      <c r="C97" s="30"/>
      <c r="D97" s="30"/>
      <c r="G97" s="273"/>
      <c r="H97" s="43" t="s">
        <v>92</v>
      </c>
      <c r="I97" s="274"/>
      <c r="J97" s="274"/>
      <c r="K97" s="267">
        <v>137</v>
      </c>
      <c r="L97" s="267">
        <v>137</v>
      </c>
      <c r="M97" s="145">
        <f t="shared" si="0"/>
        <v>1</v>
      </c>
      <c r="N97" s="275"/>
      <c r="O97" s="275"/>
    </row>
    <row r="98" spans="2:15" ht="29.25" hidden="1" customHeight="1" x14ac:dyDescent="0.3">
      <c r="B98" s="29"/>
      <c r="C98" s="30"/>
      <c r="D98" s="30"/>
      <c r="G98" s="273"/>
      <c r="H98" s="43" t="s">
        <v>82</v>
      </c>
      <c r="I98" s="274"/>
      <c r="J98" s="274"/>
      <c r="K98" s="267">
        <v>70</v>
      </c>
      <c r="L98" s="267">
        <v>70</v>
      </c>
      <c r="M98" s="145">
        <f t="shared" si="0"/>
        <v>1</v>
      </c>
      <c r="N98" s="275"/>
      <c r="O98" s="275"/>
    </row>
    <row r="99" spans="2:15" ht="29.25" hidden="1" customHeight="1" x14ac:dyDescent="0.35">
      <c r="B99" s="29"/>
      <c r="C99" s="30"/>
      <c r="D99" s="30"/>
      <c r="G99" s="273"/>
      <c r="H99" s="43" t="s">
        <v>83</v>
      </c>
      <c r="I99" s="274"/>
      <c r="J99" s="274"/>
      <c r="K99" s="246">
        <v>56</v>
      </c>
      <c r="L99" s="246">
        <v>56</v>
      </c>
      <c r="M99" s="145">
        <f t="shared" si="0"/>
        <v>1</v>
      </c>
      <c r="N99" s="275"/>
      <c r="O99" s="275"/>
    </row>
    <row r="100" spans="2:15" ht="29.25" hidden="1" customHeight="1" x14ac:dyDescent="0.35">
      <c r="B100" s="29"/>
      <c r="C100" s="30"/>
      <c r="D100" s="30"/>
      <c r="G100" s="273"/>
      <c r="H100" s="43" t="s">
        <v>84</v>
      </c>
      <c r="I100" s="274"/>
      <c r="J100" s="274"/>
      <c r="K100" s="247">
        <v>50</v>
      </c>
      <c r="L100" s="247">
        <v>50</v>
      </c>
      <c r="M100" s="145">
        <f t="shared" si="0"/>
        <v>1</v>
      </c>
      <c r="N100" s="275"/>
      <c r="O100" s="275"/>
    </row>
    <row r="101" spans="2:15" ht="29.25" hidden="1" customHeight="1" x14ac:dyDescent="0.3">
      <c r="B101" s="29"/>
      <c r="C101" s="30"/>
      <c r="D101" s="30"/>
      <c r="G101" s="273"/>
      <c r="H101" s="43" t="s">
        <v>93</v>
      </c>
      <c r="I101" s="274"/>
      <c r="J101" s="274"/>
      <c r="K101" s="265">
        <v>44</v>
      </c>
      <c r="L101" s="265">
        <v>44</v>
      </c>
      <c r="M101" s="145">
        <f t="shared" si="0"/>
        <v>1</v>
      </c>
      <c r="N101" s="275"/>
      <c r="O101" s="275"/>
    </row>
    <row r="102" spans="2:15" ht="29.25" hidden="1" customHeight="1" x14ac:dyDescent="0.3">
      <c r="B102" s="29"/>
      <c r="C102" s="30"/>
      <c r="D102" s="30"/>
      <c r="G102" s="273"/>
      <c r="H102" s="43" t="s">
        <v>85</v>
      </c>
      <c r="I102" s="274"/>
      <c r="J102" s="274"/>
      <c r="K102" s="265">
        <v>30</v>
      </c>
      <c r="L102" s="265">
        <v>30</v>
      </c>
      <c r="M102" s="145">
        <f t="shared" si="0"/>
        <v>1</v>
      </c>
      <c r="N102" s="275"/>
      <c r="O102" s="275"/>
    </row>
    <row r="103" spans="2:15" ht="29.25" hidden="1" customHeight="1" x14ac:dyDescent="0.3">
      <c r="B103" s="29"/>
      <c r="C103" s="30"/>
      <c r="D103" s="30"/>
      <c r="G103" s="273"/>
      <c r="H103" s="43" t="s">
        <v>94</v>
      </c>
      <c r="I103" s="274" t="s">
        <v>511</v>
      </c>
      <c r="J103" s="274"/>
      <c r="K103" s="265">
        <v>45</v>
      </c>
      <c r="L103" s="265">
        <v>45</v>
      </c>
      <c r="M103" s="145">
        <f t="shared" si="0"/>
        <v>1</v>
      </c>
      <c r="N103" s="275"/>
      <c r="O103" s="275"/>
    </row>
    <row r="104" spans="2:15" ht="62.25" customHeight="1" x14ac:dyDescent="0.3">
      <c r="B104" s="29"/>
      <c r="C104" s="30"/>
      <c r="D104" s="30"/>
      <c r="G104" s="859">
        <v>2014</v>
      </c>
      <c r="H104" s="859"/>
      <c r="I104" s="860" t="s">
        <v>506</v>
      </c>
      <c r="J104" s="860"/>
      <c r="K104" s="267">
        <v>937</v>
      </c>
      <c r="L104" s="267">
        <v>937</v>
      </c>
      <c r="M104" s="145">
        <f t="shared" si="0"/>
        <v>1</v>
      </c>
      <c r="N104" s="1351" t="s">
        <v>838</v>
      </c>
      <c r="O104" s="1352"/>
    </row>
    <row r="105" spans="2:15" ht="69" customHeight="1" x14ac:dyDescent="0.3">
      <c r="B105" s="29"/>
      <c r="C105" s="30"/>
      <c r="D105" s="30"/>
      <c r="G105" s="859"/>
      <c r="H105" s="859"/>
      <c r="I105" s="860" t="s">
        <v>507</v>
      </c>
      <c r="J105" s="860"/>
      <c r="K105" s="267">
        <v>732</v>
      </c>
      <c r="L105" s="267">
        <v>732</v>
      </c>
      <c r="M105" s="142">
        <f t="shared" si="0"/>
        <v>1</v>
      </c>
      <c r="N105" s="1353"/>
      <c r="O105" s="1354"/>
    </row>
    <row r="106" spans="2:15" ht="29.25" customHeight="1" x14ac:dyDescent="0.3">
      <c r="B106" s="29"/>
      <c r="C106" s="30"/>
      <c r="D106" s="30"/>
      <c r="G106" s="859"/>
      <c r="H106" s="859"/>
      <c r="I106" s="1325" t="s">
        <v>81</v>
      </c>
      <c r="J106" s="1325"/>
      <c r="K106" s="143">
        <f>SUM(K104:K105)</f>
        <v>1669</v>
      </c>
      <c r="L106" s="143">
        <f>SUM(L104:L105)</f>
        <v>1669</v>
      </c>
      <c r="M106" s="144">
        <f t="shared" si="0"/>
        <v>1</v>
      </c>
      <c r="N106" s="1355"/>
      <c r="O106" s="1356"/>
    </row>
    <row r="107" spans="2:15" ht="62.25" customHeight="1" x14ac:dyDescent="0.3">
      <c r="B107" s="29"/>
      <c r="C107" s="30"/>
      <c r="D107" s="30"/>
      <c r="G107" s="859">
        <v>2015</v>
      </c>
      <c r="H107" s="859"/>
      <c r="I107" s="860" t="s">
        <v>506</v>
      </c>
      <c r="J107" s="860"/>
      <c r="K107" s="267">
        <v>2641</v>
      </c>
      <c r="L107" s="267">
        <v>2951</v>
      </c>
      <c r="M107" s="145">
        <f t="shared" si="0"/>
        <v>0.89495086411385971</v>
      </c>
      <c r="N107" s="1351" t="s">
        <v>839</v>
      </c>
      <c r="O107" s="1352"/>
    </row>
    <row r="108" spans="2:15" ht="73.5" customHeight="1" x14ac:dyDescent="0.3">
      <c r="B108" s="29"/>
      <c r="C108" s="30"/>
      <c r="D108" s="30"/>
      <c r="G108" s="859"/>
      <c r="H108" s="859"/>
      <c r="I108" s="860" t="s">
        <v>507</v>
      </c>
      <c r="J108" s="860"/>
      <c r="K108" s="267">
        <v>761</v>
      </c>
      <c r="L108" s="267">
        <v>909</v>
      </c>
      <c r="M108" s="142">
        <f t="shared" si="0"/>
        <v>0.83718371837183714</v>
      </c>
      <c r="N108" s="1353"/>
      <c r="O108" s="1354"/>
    </row>
    <row r="109" spans="2:15" ht="32.25" customHeight="1" x14ac:dyDescent="0.3">
      <c r="B109" s="29"/>
      <c r="C109" s="30"/>
      <c r="D109" s="30"/>
      <c r="G109" s="859"/>
      <c r="H109" s="859"/>
      <c r="I109" s="1325" t="s">
        <v>81</v>
      </c>
      <c r="J109" s="1325"/>
      <c r="K109" s="143">
        <f>SUM(K107:K108)</f>
        <v>3402</v>
      </c>
      <c r="L109" s="143">
        <f>SUM(L107:L108)</f>
        <v>3860</v>
      </c>
      <c r="M109" s="144">
        <f t="shared" si="0"/>
        <v>0.8813471502590674</v>
      </c>
      <c r="N109" s="1355"/>
      <c r="O109" s="1356"/>
    </row>
    <row r="110" spans="2:15" ht="29.25" customHeight="1" x14ac:dyDescent="0.3">
      <c r="B110" s="29"/>
      <c r="C110" s="30"/>
      <c r="D110" s="30"/>
      <c r="G110" s="859">
        <v>2016</v>
      </c>
      <c r="H110" s="43" t="s">
        <v>87</v>
      </c>
      <c r="I110" s="1366" t="s">
        <v>511</v>
      </c>
      <c r="J110" s="1366"/>
      <c r="K110" s="267">
        <v>185</v>
      </c>
      <c r="L110" s="267">
        <v>236</v>
      </c>
      <c r="M110" s="145">
        <f t="shared" si="0"/>
        <v>0.78389830508474578</v>
      </c>
      <c r="N110" s="1316" t="s">
        <v>840</v>
      </c>
      <c r="O110" s="1317"/>
    </row>
    <row r="111" spans="2:15" ht="29.25" customHeight="1" x14ac:dyDescent="0.3">
      <c r="B111" s="29"/>
      <c r="C111" s="30"/>
      <c r="D111" s="30"/>
      <c r="G111" s="859"/>
      <c r="H111" s="43" t="s">
        <v>88</v>
      </c>
      <c r="I111" s="1366"/>
      <c r="J111" s="1366"/>
      <c r="K111" s="267">
        <v>233</v>
      </c>
      <c r="L111" s="267">
        <v>270</v>
      </c>
      <c r="M111" s="145">
        <f t="shared" si="0"/>
        <v>0.86296296296296293</v>
      </c>
      <c r="N111" s="1318"/>
      <c r="O111" s="1319"/>
    </row>
    <row r="112" spans="2:15" ht="29.25" customHeight="1" x14ac:dyDescent="0.3">
      <c r="B112" s="29"/>
      <c r="C112" s="30"/>
      <c r="D112" s="30"/>
      <c r="G112" s="859"/>
      <c r="H112" s="43" t="s">
        <v>89</v>
      </c>
      <c r="I112" s="1366"/>
      <c r="J112" s="1366"/>
      <c r="K112" s="267">
        <v>220</v>
      </c>
      <c r="L112" s="267">
        <v>250</v>
      </c>
      <c r="M112" s="145">
        <f t="shared" ref="M112:M143" si="1">+K112/L112</f>
        <v>0.88</v>
      </c>
      <c r="N112" s="1318"/>
      <c r="O112" s="1319"/>
    </row>
    <row r="113" spans="2:15" ht="29.25" customHeight="1" x14ac:dyDescent="0.3">
      <c r="B113" s="29"/>
      <c r="C113" s="30"/>
      <c r="D113" s="30"/>
      <c r="G113" s="859"/>
      <c r="H113" s="43" t="s">
        <v>90</v>
      </c>
      <c r="I113" s="1366"/>
      <c r="J113" s="1366"/>
      <c r="K113" s="267">
        <v>236</v>
      </c>
      <c r="L113" s="267">
        <v>425</v>
      </c>
      <c r="M113" s="145">
        <f t="shared" si="1"/>
        <v>0.55529411764705883</v>
      </c>
      <c r="N113" s="1318"/>
      <c r="O113" s="1319"/>
    </row>
    <row r="114" spans="2:15" ht="29.25" customHeight="1" x14ac:dyDescent="0.3">
      <c r="B114" s="29"/>
      <c r="C114" s="30"/>
      <c r="D114" s="30"/>
      <c r="G114" s="859"/>
      <c r="H114" s="43" t="s">
        <v>91</v>
      </c>
      <c r="I114" s="1366"/>
      <c r="J114" s="1366"/>
      <c r="K114" s="267">
        <v>244</v>
      </c>
      <c r="L114" s="267">
        <v>370</v>
      </c>
      <c r="M114" s="145">
        <f t="shared" si="1"/>
        <v>0.6594594594594595</v>
      </c>
      <c r="N114" s="1318"/>
      <c r="O114" s="1319"/>
    </row>
    <row r="115" spans="2:15" ht="29.25" customHeight="1" x14ac:dyDescent="0.3">
      <c r="B115" s="29"/>
      <c r="C115" s="30"/>
      <c r="D115" s="30"/>
      <c r="G115" s="859"/>
      <c r="H115" s="43" t="s">
        <v>92</v>
      </c>
      <c r="I115" s="1366"/>
      <c r="J115" s="1366"/>
      <c r="K115" s="267">
        <v>225</v>
      </c>
      <c r="L115" s="267">
        <v>410</v>
      </c>
      <c r="M115" s="145">
        <f t="shared" si="1"/>
        <v>0.54878048780487809</v>
      </c>
      <c r="N115" s="1318"/>
      <c r="O115" s="1319"/>
    </row>
    <row r="116" spans="2:15" ht="29.25" customHeight="1" x14ac:dyDescent="0.3">
      <c r="B116" s="29"/>
      <c r="C116" s="30"/>
      <c r="D116" s="30"/>
      <c r="G116" s="859"/>
      <c r="H116" s="43" t="s">
        <v>82</v>
      </c>
      <c r="I116" s="1366"/>
      <c r="J116" s="1366"/>
      <c r="K116" s="267">
        <v>158</v>
      </c>
      <c r="L116" s="267">
        <v>317</v>
      </c>
      <c r="M116" s="145">
        <f t="shared" si="1"/>
        <v>0.49842271293375395</v>
      </c>
      <c r="N116" s="1318"/>
      <c r="O116" s="1319"/>
    </row>
    <row r="117" spans="2:15" ht="29.25" customHeight="1" x14ac:dyDescent="0.3">
      <c r="B117" s="29"/>
      <c r="C117" s="30"/>
      <c r="D117" s="30"/>
      <c r="G117" s="859"/>
      <c r="H117" s="43" t="s">
        <v>83</v>
      </c>
      <c r="I117" s="1366"/>
      <c r="J117" s="1366"/>
      <c r="K117" s="267">
        <v>175</v>
      </c>
      <c r="L117" s="267">
        <v>330</v>
      </c>
      <c r="M117" s="145">
        <f t="shared" si="1"/>
        <v>0.53030303030303028</v>
      </c>
      <c r="N117" s="1318"/>
      <c r="O117" s="1319"/>
    </row>
    <row r="118" spans="2:15" ht="29.25" customHeight="1" x14ac:dyDescent="0.3">
      <c r="B118" s="29"/>
      <c r="C118" s="30"/>
      <c r="D118" s="30"/>
      <c r="G118" s="859"/>
      <c r="H118" s="43" t="s">
        <v>84</v>
      </c>
      <c r="I118" s="1366"/>
      <c r="J118" s="1366"/>
      <c r="K118" s="265"/>
      <c r="L118" s="265"/>
      <c r="M118" s="145" t="e">
        <f t="shared" si="1"/>
        <v>#DIV/0!</v>
      </c>
      <c r="N118" s="1318"/>
      <c r="O118" s="1319"/>
    </row>
    <row r="119" spans="2:15" ht="29.25" customHeight="1" x14ac:dyDescent="0.3">
      <c r="B119" s="29"/>
      <c r="C119" s="30"/>
      <c r="D119" s="30"/>
      <c r="G119" s="859"/>
      <c r="H119" s="43" t="s">
        <v>93</v>
      </c>
      <c r="I119" s="1366"/>
      <c r="J119" s="1366"/>
      <c r="K119" s="265"/>
      <c r="L119" s="265"/>
      <c r="M119" s="145" t="e">
        <f t="shared" si="1"/>
        <v>#DIV/0!</v>
      </c>
      <c r="N119" s="1318"/>
      <c r="O119" s="1319"/>
    </row>
    <row r="120" spans="2:15" ht="29.25" customHeight="1" x14ac:dyDescent="0.3">
      <c r="B120" s="29"/>
      <c r="C120" s="30"/>
      <c r="D120" s="30"/>
      <c r="G120" s="859"/>
      <c r="H120" s="43" t="s">
        <v>85</v>
      </c>
      <c r="I120" s="1366"/>
      <c r="J120" s="1366"/>
      <c r="K120" s="265"/>
      <c r="L120" s="265"/>
      <c r="M120" s="145" t="e">
        <f t="shared" si="1"/>
        <v>#DIV/0!</v>
      </c>
      <c r="N120" s="1318"/>
      <c r="O120" s="1319"/>
    </row>
    <row r="121" spans="2:15" ht="29.25" customHeight="1" x14ac:dyDescent="0.3">
      <c r="B121" s="29"/>
      <c r="C121" s="30"/>
      <c r="D121" s="30"/>
      <c r="G121" s="859"/>
      <c r="H121" s="43" t="s">
        <v>94</v>
      </c>
      <c r="I121" s="1366"/>
      <c r="J121" s="1366"/>
      <c r="K121" s="265"/>
      <c r="L121" s="265"/>
      <c r="M121" s="145" t="e">
        <f t="shared" si="1"/>
        <v>#DIV/0!</v>
      </c>
      <c r="N121" s="1318"/>
      <c r="O121" s="1319"/>
    </row>
    <row r="122" spans="2:15" ht="29.25" customHeight="1" x14ac:dyDescent="0.3">
      <c r="B122" s="29"/>
      <c r="C122" s="30"/>
      <c r="D122" s="30"/>
      <c r="G122" s="859"/>
      <c r="H122" s="1333" t="s">
        <v>512</v>
      </c>
      <c r="I122" s="1333"/>
      <c r="J122" s="1333"/>
      <c r="K122" s="271">
        <f>SUM(K110:K121)</f>
        <v>1676</v>
      </c>
      <c r="L122" s="271">
        <f>SUM(L110:L121)</f>
        <v>2608</v>
      </c>
      <c r="M122" s="146">
        <f t="shared" si="1"/>
        <v>0.6426380368098159</v>
      </c>
      <c r="N122" s="1320"/>
      <c r="O122" s="1321"/>
    </row>
    <row r="123" spans="2:15" ht="29.25" customHeight="1" x14ac:dyDescent="0.3">
      <c r="B123" s="29"/>
      <c r="C123" s="30"/>
      <c r="D123" s="30"/>
      <c r="G123" s="859"/>
      <c r="H123" s="43" t="s">
        <v>87</v>
      </c>
      <c r="I123" s="1366" t="s">
        <v>507</v>
      </c>
      <c r="J123" s="1366"/>
      <c r="K123" s="267">
        <v>10</v>
      </c>
      <c r="L123" s="267">
        <v>21</v>
      </c>
      <c r="M123" s="145">
        <f t="shared" si="1"/>
        <v>0.47619047619047616</v>
      </c>
      <c r="N123" s="1316" t="s">
        <v>840</v>
      </c>
      <c r="O123" s="1317"/>
    </row>
    <row r="124" spans="2:15" ht="29.25" customHeight="1" x14ac:dyDescent="0.3">
      <c r="B124" s="29"/>
      <c r="C124" s="30"/>
      <c r="D124" s="30"/>
      <c r="G124" s="859"/>
      <c r="H124" s="43" t="s">
        <v>88</v>
      </c>
      <c r="I124" s="1366"/>
      <c r="J124" s="1366"/>
      <c r="K124" s="267">
        <v>43</v>
      </c>
      <c r="L124" s="267">
        <v>69</v>
      </c>
      <c r="M124" s="145">
        <f t="shared" si="1"/>
        <v>0.62318840579710144</v>
      </c>
      <c r="N124" s="1318"/>
      <c r="O124" s="1319"/>
    </row>
    <row r="125" spans="2:15" ht="29.25" customHeight="1" x14ac:dyDescent="0.3">
      <c r="B125" s="29"/>
      <c r="C125" s="30"/>
      <c r="D125" s="30"/>
      <c r="G125" s="859"/>
      <c r="H125" s="43" t="s">
        <v>89</v>
      </c>
      <c r="I125" s="1366"/>
      <c r="J125" s="1366"/>
      <c r="K125" s="267">
        <v>41</v>
      </c>
      <c r="L125" s="267">
        <v>52</v>
      </c>
      <c r="M125" s="145">
        <f t="shared" si="1"/>
        <v>0.78846153846153844</v>
      </c>
      <c r="N125" s="1318"/>
      <c r="O125" s="1319"/>
    </row>
    <row r="126" spans="2:15" ht="29.25" customHeight="1" x14ac:dyDescent="0.3">
      <c r="B126" s="29"/>
      <c r="C126" s="30"/>
      <c r="D126" s="30"/>
      <c r="G126" s="859"/>
      <c r="H126" s="43" t="s">
        <v>90</v>
      </c>
      <c r="I126" s="1366"/>
      <c r="J126" s="1366"/>
      <c r="K126" s="267">
        <v>155</v>
      </c>
      <c r="L126" s="267">
        <v>188</v>
      </c>
      <c r="M126" s="145">
        <f t="shared" si="1"/>
        <v>0.82446808510638303</v>
      </c>
      <c r="N126" s="1318"/>
      <c r="O126" s="1319"/>
    </row>
    <row r="127" spans="2:15" ht="29.25" customHeight="1" x14ac:dyDescent="0.3">
      <c r="B127" s="29"/>
      <c r="C127" s="30"/>
      <c r="D127" s="30"/>
      <c r="G127" s="859"/>
      <c r="H127" s="43" t="s">
        <v>91</v>
      </c>
      <c r="I127" s="1366"/>
      <c r="J127" s="1366"/>
      <c r="K127" s="267">
        <v>125</v>
      </c>
      <c r="L127" s="267">
        <v>288</v>
      </c>
      <c r="M127" s="145">
        <f t="shared" si="1"/>
        <v>0.43402777777777779</v>
      </c>
      <c r="N127" s="1318"/>
      <c r="O127" s="1319"/>
    </row>
    <row r="128" spans="2:15" ht="29.25" customHeight="1" x14ac:dyDescent="0.3">
      <c r="B128" s="29"/>
      <c r="C128" s="30"/>
      <c r="D128" s="30"/>
      <c r="G128" s="859"/>
      <c r="H128" s="43" t="s">
        <v>92</v>
      </c>
      <c r="I128" s="1366"/>
      <c r="J128" s="1366"/>
      <c r="K128" s="267">
        <v>135</v>
      </c>
      <c r="L128" s="267">
        <v>280</v>
      </c>
      <c r="M128" s="145">
        <f t="shared" si="1"/>
        <v>0.48214285714285715</v>
      </c>
      <c r="N128" s="1318"/>
      <c r="O128" s="1319"/>
    </row>
    <row r="129" spans="2:15" ht="29.25" customHeight="1" x14ac:dyDescent="0.3">
      <c r="B129" s="29"/>
      <c r="C129" s="30"/>
      <c r="D129" s="30"/>
      <c r="G129" s="859"/>
      <c r="H129" s="43" t="s">
        <v>82</v>
      </c>
      <c r="I129" s="1366"/>
      <c r="J129" s="1366"/>
      <c r="K129" s="267">
        <v>88</v>
      </c>
      <c r="L129" s="267">
        <v>159</v>
      </c>
      <c r="M129" s="145">
        <f t="shared" si="1"/>
        <v>0.55345911949685533</v>
      </c>
      <c r="N129" s="1318"/>
      <c r="O129" s="1319"/>
    </row>
    <row r="130" spans="2:15" ht="29.25" customHeight="1" x14ac:dyDescent="0.3">
      <c r="B130" s="29"/>
      <c r="C130" s="30"/>
      <c r="D130" s="30"/>
      <c r="G130" s="859"/>
      <c r="H130" s="43" t="s">
        <v>83</v>
      </c>
      <c r="I130" s="1366"/>
      <c r="J130" s="1366"/>
      <c r="K130" s="267">
        <v>168</v>
      </c>
      <c r="L130" s="267">
        <v>255</v>
      </c>
      <c r="M130" s="145">
        <f t="shared" si="1"/>
        <v>0.6588235294117647</v>
      </c>
      <c r="N130" s="1318"/>
      <c r="O130" s="1319"/>
    </row>
    <row r="131" spans="2:15" ht="29.25" customHeight="1" x14ac:dyDescent="0.3">
      <c r="B131" s="29"/>
      <c r="C131" s="30"/>
      <c r="D131" s="30"/>
      <c r="G131" s="859"/>
      <c r="H131" s="43" t="s">
        <v>84</v>
      </c>
      <c r="I131" s="1366"/>
      <c r="J131" s="1366"/>
      <c r="K131" s="265"/>
      <c r="L131" s="265"/>
      <c r="M131" s="145" t="e">
        <f t="shared" si="1"/>
        <v>#DIV/0!</v>
      </c>
      <c r="N131" s="1318"/>
      <c r="O131" s="1319"/>
    </row>
    <row r="132" spans="2:15" ht="29.25" customHeight="1" x14ac:dyDescent="0.3">
      <c r="B132" s="29"/>
      <c r="C132" s="30"/>
      <c r="D132" s="30"/>
      <c r="G132" s="859"/>
      <c r="H132" s="43" t="s">
        <v>93</v>
      </c>
      <c r="I132" s="1366"/>
      <c r="J132" s="1366"/>
      <c r="K132" s="265"/>
      <c r="L132" s="265"/>
      <c r="M132" s="145" t="e">
        <f t="shared" si="1"/>
        <v>#DIV/0!</v>
      </c>
      <c r="N132" s="1318"/>
      <c r="O132" s="1319"/>
    </row>
    <row r="133" spans="2:15" ht="29.25" customHeight="1" x14ac:dyDescent="0.3">
      <c r="B133" s="29"/>
      <c r="C133" s="30"/>
      <c r="D133" s="30"/>
      <c r="G133" s="859"/>
      <c r="H133" s="43" t="s">
        <v>85</v>
      </c>
      <c r="I133" s="1366"/>
      <c r="J133" s="1366"/>
      <c r="K133" s="265"/>
      <c r="L133" s="265"/>
      <c r="M133" s="145" t="e">
        <f t="shared" si="1"/>
        <v>#DIV/0!</v>
      </c>
      <c r="N133" s="1318"/>
      <c r="O133" s="1319"/>
    </row>
    <row r="134" spans="2:15" ht="29.25" customHeight="1" x14ac:dyDescent="0.3">
      <c r="B134" s="29"/>
      <c r="C134" s="30"/>
      <c r="D134" s="30"/>
      <c r="G134" s="859"/>
      <c r="H134" s="43" t="s">
        <v>94</v>
      </c>
      <c r="I134" s="1366"/>
      <c r="J134" s="1366"/>
      <c r="K134" s="265"/>
      <c r="L134" s="265"/>
      <c r="M134" s="145" t="e">
        <f t="shared" si="1"/>
        <v>#DIV/0!</v>
      </c>
      <c r="N134" s="1318"/>
      <c r="O134" s="1319"/>
    </row>
    <row r="135" spans="2:15" ht="29.25" customHeight="1" x14ac:dyDescent="0.3">
      <c r="B135" s="29"/>
      <c r="C135" s="30"/>
      <c r="D135" s="30"/>
      <c r="G135" s="859"/>
      <c r="H135" s="1333" t="s">
        <v>513</v>
      </c>
      <c r="I135" s="1333"/>
      <c r="J135" s="1333"/>
      <c r="K135" s="271">
        <f>SUM(K123:K134)</f>
        <v>765</v>
      </c>
      <c r="L135" s="271">
        <f>SUM(L123:L134)</f>
        <v>1312</v>
      </c>
      <c r="M135" s="146">
        <f t="shared" si="1"/>
        <v>0.58307926829268297</v>
      </c>
      <c r="N135" s="1320"/>
      <c r="O135" s="1321"/>
    </row>
    <row r="136" spans="2:15" ht="29.25" customHeight="1" x14ac:dyDescent="0.3">
      <c r="B136" s="29"/>
      <c r="C136" s="30"/>
      <c r="D136" s="30"/>
      <c r="G136" s="859"/>
      <c r="H136" s="43" t="s">
        <v>87</v>
      </c>
      <c r="I136" s="1366" t="s">
        <v>81</v>
      </c>
      <c r="J136" s="1366"/>
      <c r="K136" s="266">
        <f t="shared" ref="K136:K147" si="2">K110+K123</f>
        <v>195</v>
      </c>
      <c r="L136" s="267">
        <f t="shared" ref="L136:L147" si="3">L123+L110</f>
        <v>257</v>
      </c>
      <c r="M136" s="145">
        <f t="shared" si="1"/>
        <v>0.75875486381322954</v>
      </c>
      <c r="N136" s="1316" t="s">
        <v>840</v>
      </c>
      <c r="O136" s="1317"/>
    </row>
    <row r="137" spans="2:15" ht="29.25" customHeight="1" x14ac:dyDescent="0.3">
      <c r="B137" s="29"/>
      <c r="C137" s="30"/>
      <c r="D137" s="30"/>
      <c r="G137" s="859"/>
      <c r="H137" s="43" t="s">
        <v>88</v>
      </c>
      <c r="I137" s="1366"/>
      <c r="J137" s="1366"/>
      <c r="K137" s="266">
        <f t="shared" si="2"/>
        <v>276</v>
      </c>
      <c r="L137" s="267">
        <f t="shared" si="3"/>
        <v>339</v>
      </c>
      <c r="M137" s="145">
        <f t="shared" si="1"/>
        <v>0.81415929203539827</v>
      </c>
      <c r="N137" s="1318"/>
      <c r="O137" s="1319"/>
    </row>
    <row r="138" spans="2:15" ht="29.25" customHeight="1" x14ac:dyDescent="0.3">
      <c r="B138" s="29"/>
      <c r="C138" s="30"/>
      <c r="D138" s="30"/>
      <c r="G138" s="859"/>
      <c r="H138" s="43" t="s">
        <v>89</v>
      </c>
      <c r="I138" s="1366"/>
      <c r="J138" s="1366"/>
      <c r="K138" s="266">
        <f t="shared" si="2"/>
        <v>261</v>
      </c>
      <c r="L138" s="267">
        <f t="shared" si="3"/>
        <v>302</v>
      </c>
      <c r="M138" s="145">
        <f t="shared" si="1"/>
        <v>0.86423841059602646</v>
      </c>
      <c r="N138" s="1318"/>
      <c r="O138" s="1319"/>
    </row>
    <row r="139" spans="2:15" ht="29.25" customHeight="1" x14ac:dyDescent="0.3">
      <c r="B139" s="29"/>
      <c r="C139" s="30"/>
      <c r="D139" s="30"/>
      <c r="G139" s="859"/>
      <c r="H139" s="43" t="s">
        <v>90</v>
      </c>
      <c r="I139" s="1366"/>
      <c r="J139" s="1366"/>
      <c r="K139" s="266">
        <f t="shared" si="2"/>
        <v>391</v>
      </c>
      <c r="L139" s="267">
        <f t="shared" si="3"/>
        <v>613</v>
      </c>
      <c r="M139" s="145">
        <f t="shared" si="1"/>
        <v>0.63784665579119082</v>
      </c>
      <c r="N139" s="1318"/>
      <c r="O139" s="1319"/>
    </row>
    <row r="140" spans="2:15" ht="29.25" customHeight="1" x14ac:dyDescent="0.3">
      <c r="B140" s="29"/>
      <c r="C140" s="30"/>
      <c r="D140" s="30"/>
      <c r="G140" s="859"/>
      <c r="H140" s="43" t="s">
        <v>91</v>
      </c>
      <c r="I140" s="1366"/>
      <c r="J140" s="1366"/>
      <c r="K140" s="266">
        <f t="shared" si="2"/>
        <v>369</v>
      </c>
      <c r="L140" s="267">
        <f t="shared" si="3"/>
        <v>658</v>
      </c>
      <c r="M140" s="145">
        <f t="shared" si="1"/>
        <v>0.56079027355623101</v>
      </c>
      <c r="N140" s="1318"/>
      <c r="O140" s="1319"/>
    </row>
    <row r="141" spans="2:15" ht="29.25" customHeight="1" x14ac:dyDescent="0.3">
      <c r="B141" s="29"/>
      <c r="C141" s="30"/>
      <c r="D141" s="30"/>
      <c r="G141" s="859"/>
      <c r="H141" s="43" t="s">
        <v>92</v>
      </c>
      <c r="I141" s="1366"/>
      <c r="J141" s="1366"/>
      <c r="K141" s="266">
        <f t="shared" si="2"/>
        <v>360</v>
      </c>
      <c r="L141" s="267">
        <f t="shared" si="3"/>
        <v>690</v>
      </c>
      <c r="M141" s="145">
        <f t="shared" si="1"/>
        <v>0.52173913043478259</v>
      </c>
      <c r="N141" s="1318"/>
      <c r="O141" s="1319"/>
    </row>
    <row r="142" spans="2:15" ht="29.25" customHeight="1" x14ac:dyDescent="0.3">
      <c r="B142" s="29"/>
      <c r="C142" s="30"/>
      <c r="D142" s="30"/>
      <c r="G142" s="859"/>
      <c r="H142" s="43" t="s">
        <v>82</v>
      </c>
      <c r="I142" s="1366"/>
      <c r="J142" s="1366"/>
      <c r="K142" s="266">
        <f t="shared" si="2"/>
        <v>246</v>
      </c>
      <c r="L142" s="267">
        <f t="shared" si="3"/>
        <v>476</v>
      </c>
      <c r="M142" s="145">
        <f t="shared" si="1"/>
        <v>0.51680672268907568</v>
      </c>
      <c r="N142" s="1318"/>
      <c r="O142" s="1319"/>
    </row>
    <row r="143" spans="2:15" ht="29.25" customHeight="1" x14ac:dyDescent="0.3">
      <c r="B143" s="29"/>
      <c r="C143" s="30"/>
      <c r="D143" s="30"/>
      <c r="G143" s="859"/>
      <c r="H143" s="43" t="s">
        <v>83</v>
      </c>
      <c r="I143" s="1366"/>
      <c r="J143" s="1366"/>
      <c r="K143" s="266">
        <f t="shared" si="2"/>
        <v>343</v>
      </c>
      <c r="L143" s="267">
        <f t="shared" si="3"/>
        <v>585</v>
      </c>
      <c r="M143" s="145">
        <f t="shared" si="1"/>
        <v>0.58632478632478635</v>
      </c>
      <c r="N143" s="1318"/>
      <c r="O143" s="1319"/>
    </row>
    <row r="144" spans="2:15" ht="29.25" customHeight="1" x14ac:dyDescent="0.3">
      <c r="B144" s="29"/>
      <c r="C144" s="30"/>
      <c r="D144" s="30"/>
      <c r="G144" s="859"/>
      <c r="H144" s="43" t="s">
        <v>84</v>
      </c>
      <c r="I144" s="1366"/>
      <c r="J144" s="1366"/>
      <c r="K144" s="266">
        <f t="shared" si="2"/>
        <v>0</v>
      </c>
      <c r="L144" s="267">
        <f t="shared" si="3"/>
        <v>0</v>
      </c>
      <c r="M144" s="145" t="e">
        <f>+K144/L144</f>
        <v>#DIV/0!</v>
      </c>
      <c r="N144" s="1318"/>
      <c r="O144" s="1319"/>
    </row>
    <row r="145" spans="1:15" ht="29.25" customHeight="1" x14ac:dyDescent="0.3">
      <c r="B145" s="29"/>
      <c r="C145" s="30"/>
      <c r="D145" s="30"/>
      <c r="G145" s="859"/>
      <c r="H145" s="43" t="s">
        <v>93</v>
      </c>
      <c r="I145" s="1366"/>
      <c r="J145" s="1366"/>
      <c r="K145" s="266">
        <f t="shared" si="2"/>
        <v>0</v>
      </c>
      <c r="L145" s="267">
        <f t="shared" si="3"/>
        <v>0</v>
      </c>
      <c r="M145" s="145" t="e">
        <f>+K145/L145</f>
        <v>#DIV/0!</v>
      </c>
      <c r="N145" s="1318"/>
      <c r="O145" s="1319"/>
    </row>
    <row r="146" spans="1:15" ht="29.25" customHeight="1" x14ac:dyDescent="0.3">
      <c r="B146" s="29"/>
      <c r="C146" s="30"/>
      <c r="D146" s="30"/>
      <c r="G146" s="859"/>
      <c r="H146" s="43" t="s">
        <v>85</v>
      </c>
      <c r="I146" s="1366"/>
      <c r="J146" s="1366"/>
      <c r="K146" s="266">
        <f t="shared" si="2"/>
        <v>0</v>
      </c>
      <c r="L146" s="267">
        <f t="shared" si="3"/>
        <v>0</v>
      </c>
      <c r="M146" s="145" t="e">
        <f>+K146/L146</f>
        <v>#DIV/0!</v>
      </c>
      <c r="N146" s="1318"/>
      <c r="O146" s="1319"/>
    </row>
    <row r="147" spans="1:15" ht="29.25" customHeight="1" x14ac:dyDescent="0.3">
      <c r="B147" s="29"/>
      <c r="C147" s="30"/>
      <c r="D147" s="30"/>
      <c r="G147" s="859"/>
      <c r="H147" s="43" t="s">
        <v>94</v>
      </c>
      <c r="I147" s="1366"/>
      <c r="J147" s="1366"/>
      <c r="K147" s="266">
        <f t="shared" si="2"/>
        <v>0</v>
      </c>
      <c r="L147" s="267">
        <f t="shared" si="3"/>
        <v>0</v>
      </c>
      <c r="M147" s="145" t="e">
        <f>+K147/L147</f>
        <v>#DIV/0!</v>
      </c>
      <c r="N147" s="1318"/>
      <c r="O147" s="1319"/>
    </row>
    <row r="148" spans="1:15" ht="29.25" customHeight="1" x14ac:dyDescent="0.3">
      <c r="B148" s="29"/>
      <c r="C148" s="30"/>
      <c r="D148" s="30"/>
      <c r="G148" s="859"/>
      <c r="H148" s="1333" t="s">
        <v>81</v>
      </c>
      <c r="I148" s="1333"/>
      <c r="J148" s="1333"/>
      <c r="K148" s="271">
        <f>SUM(K136:K147)</f>
        <v>2441</v>
      </c>
      <c r="L148" s="271">
        <f>SUM(L136:L147)</f>
        <v>3920</v>
      </c>
      <c r="M148" s="146">
        <f>+K148/L148</f>
        <v>0.62270408163265301</v>
      </c>
      <c r="N148" s="1320"/>
      <c r="O148" s="1321"/>
    </row>
    <row r="151" spans="1:15" ht="33.75" customHeight="1" x14ac:dyDescent="0.25">
      <c r="A151" s="1357" t="str">
        <f>+D15</f>
        <v>PORCENTAJE (%) DE ENCUESTA DE SATISFACCIÓN CALIFICADAS POR LOS USUARIOS DE ANÁLISIS DE AGUAS CON UNA NOTA SUPERIOR O IGUAL A TRES PUNTO OCHO (3.8) SOBRE CINCO (5.0).</v>
      </c>
      <c r="B151" s="1358"/>
      <c r="C151" s="1358"/>
      <c r="D151" s="1358"/>
      <c r="E151" s="1358"/>
      <c r="F151" s="1358"/>
      <c r="G151" s="1358"/>
      <c r="H151" s="1358"/>
      <c r="I151" s="1358"/>
      <c r="J151" s="1358"/>
      <c r="K151" s="1358"/>
      <c r="L151" s="1358"/>
      <c r="M151" s="1358"/>
      <c r="N151" s="1358"/>
      <c r="O151" s="1359"/>
    </row>
    <row r="152" spans="1:15" x14ac:dyDescent="0.25">
      <c r="A152" s="5"/>
    </row>
    <row r="153" spans="1:15" ht="23" x14ac:dyDescent="0.25">
      <c r="A153" s="26"/>
      <c r="G153" s="39">
        <v>2009</v>
      </c>
      <c r="H153" s="39">
        <v>2010</v>
      </c>
      <c r="I153" s="39">
        <v>2011</v>
      </c>
      <c r="J153" s="39">
        <v>2012</v>
      </c>
      <c r="K153" s="39">
        <v>2013</v>
      </c>
      <c r="L153" s="39">
        <v>2014</v>
      </c>
      <c r="M153" s="39">
        <v>2015</v>
      </c>
      <c r="N153" s="39">
        <v>2016</v>
      </c>
    </row>
    <row r="154" spans="1:15" ht="34.5" customHeight="1" x14ac:dyDescent="0.25">
      <c r="A154" s="856" t="s">
        <v>811</v>
      </c>
      <c r="B154" s="857"/>
      <c r="C154" s="857"/>
      <c r="D154" s="857"/>
      <c r="E154" s="857"/>
      <c r="F154" s="857"/>
      <c r="G154" s="27">
        <v>1</v>
      </c>
      <c r="H154" s="27">
        <v>0.95</v>
      </c>
      <c r="I154" s="27">
        <v>0.92</v>
      </c>
      <c r="J154" s="27">
        <v>1</v>
      </c>
      <c r="K154" s="27">
        <v>1</v>
      </c>
      <c r="L154" s="157">
        <v>1</v>
      </c>
      <c r="M154" s="157">
        <f>+K165</f>
        <v>1</v>
      </c>
      <c r="N154" s="157">
        <v>1</v>
      </c>
    </row>
    <row r="155" spans="1:15" ht="37.5" customHeight="1" x14ac:dyDescent="0.25">
      <c r="A155" s="856" t="s">
        <v>76</v>
      </c>
      <c r="B155" s="857"/>
      <c r="C155" s="857"/>
      <c r="D155" s="857"/>
      <c r="E155" s="857"/>
      <c r="F155" s="857"/>
      <c r="G155" s="27">
        <v>0.95</v>
      </c>
      <c r="H155" s="27">
        <v>0.95</v>
      </c>
      <c r="I155" s="27">
        <v>0.95</v>
      </c>
      <c r="J155" s="27">
        <v>0.95</v>
      </c>
      <c r="K155" s="27">
        <v>0.95</v>
      </c>
      <c r="L155" s="27">
        <v>0.95</v>
      </c>
      <c r="M155" s="27">
        <v>0.95</v>
      </c>
      <c r="N155" s="27">
        <v>0.97</v>
      </c>
    </row>
    <row r="156" spans="1:15" x14ac:dyDescent="0.25">
      <c r="A156" s="5"/>
      <c r="G156" s="154"/>
      <c r="H156" s="154"/>
      <c r="I156" s="154"/>
      <c r="J156" s="154"/>
      <c r="K156" s="154"/>
      <c r="L156" s="154"/>
    </row>
    <row r="157" spans="1:15" ht="17.5" x14ac:dyDescent="0.25">
      <c r="A157" s="5"/>
      <c r="B157" s="28"/>
      <c r="C157" s="28"/>
      <c r="D157" s="28"/>
      <c r="G157" s="1165" t="s">
        <v>77</v>
      </c>
      <c r="H157" s="1165"/>
      <c r="I157" s="1165" t="s">
        <v>78</v>
      </c>
      <c r="J157" s="1165"/>
      <c r="K157" s="1165"/>
      <c r="L157" s="1165" t="s">
        <v>79</v>
      </c>
      <c r="M157" s="1165"/>
      <c r="N157" s="1165"/>
      <c r="O157" s="1165"/>
    </row>
    <row r="158" spans="1:15" ht="245" x14ac:dyDescent="0.25">
      <c r="A158" s="5"/>
      <c r="G158" s="1165"/>
      <c r="H158" s="1165"/>
      <c r="I158" s="99" t="s">
        <v>790</v>
      </c>
      <c r="J158" s="99" t="s">
        <v>514</v>
      </c>
      <c r="K158" s="99" t="s">
        <v>791</v>
      </c>
      <c r="L158" s="1165"/>
      <c r="M158" s="1165"/>
      <c r="N158" s="1165"/>
      <c r="O158" s="1165"/>
    </row>
    <row r="159" spans="1:15" ht="51" customHeight="1" x14ac:dyDescent="0.3">
      <c r="B159" s="29"/>
      <c r="C159" s="30"/>
      <c r="D159" s="30"/>
      <c r="G159" s="859">
        <v>2009</v>
      </c>
      <c r="H159" s="859"/>
      <c r="I159" s="266">
        <v>7</v>
      </c>
      <c r="J159" s="266">
        <v>7</v>
      </c>
      <c r="K159" s="33">
        <f t="shared" ref="K159:K166" si="4">+I159/J159</f>
        <v>1</v>
      </c>
      <c r="L159" s="860" t="s">
        <v>221</v>
      </c>
      <c r="M159" s="860"/>
      <c r="N159" s="860"/>
      <c r="O159" s="860"/>
    </row>
    <row r="160" spans="1:15" ht="51" customHeight="1" x14ac:dyDescent="0.3">
      <c r="B160" s="29"/>
      <c r="C160" s="30"/>
      <c r="D160" s="30"/>
      <c r="G160" s="859">
        <v>2010</v>
      </c>
      <c r="H160" s="859"/>
      <c r="I160" s="266">
        <v>18</v>
      </c>
      <c r="J160" s="266">
        <v>19</v>
      </c>
      <c r="K160" s="33">
        <f t="shared" si="4"/>
        <v>0.94736842105263153</v>
      </c>
      <c r="L160" s="860" t="s">
        <v>221</v>
      </c>
      <c r="M160" s="860"/>
      <c r="N160" s="860"/>
      <c r="O160" s="860"/>
    </row>
    <row r="161" spans="1:15" ht="51" customHeight="1" x14ac:dyDescent="0.3">
      <c r="B161" s="29"/>
      <c r="C161" s="30"/>
      <c r="D161" s="30"/>
      <c r="G161" s="859">
        <v>2011</v>
      </c>
      <c r="H161" s="859"/>
      <c r="I161" s="266">
        <v>12</v>
      </c>
      <c r="J161" s="266">
        <v>13</v>
      </c>
      <c r="K161" s="33">
        <f t="shared" si="4"/>
        <v>0.92307692307692313</v>
      </c>
      <c r="L161" s="860" t="s">
        <v>221</v>
      </c>
      <c r="M161" s="860"/>
      <c r="N161" s="860"/>
      <c r="O161" s="860"/>
    </row>
    <row r="162" spans="1:15" ht="111" customHeight="1" x14ac:dyDescent="0.3">
      <c r="B162" s="29"/>
      <c r="C162" s="30"/>
      <c r="D162" s="30"/>
      <c r="G162" s="859">
        <v>2012</v>
      </c>
      <c r="H162" s="859"/>
      <c r="I162" s="266">
        <v>13</v>
      </c>
      <c r="J162" s="266">
        <v>13</v>
      </c>
      <c r="K162" s="33">
        <f t="shared" si="4"/>
        <v>1</v>
      </c>
      <c r="L162" s="860" t="s">
        <v>515</v>
      </c>
      <c r="M162" s="860"/>
      <c r="N162" s="860"/>
      <c r="O162" s="860"/>
    </row>
    <row r="163" spans="1:15" ht="90.75" customHeight="1" x14ac:dyDescent="0.3">
      <c r="B163" s="29"/>
      <c r="C163" s="30"/>
      <c r="D163" s="30"/>
      <c r="G163" s="859">
        <v>2013</v>
      </c>
      <c r="H163" s="859"/>
      <c r="I163" s="266">
        <v>15</v>
      </c>
      <c r="J163" s="266">
        <v>15</v>
      </c>
      <c r="K163" s="33">
        <f t="shared" si="4"/>
        <v>1</v>
      </c>
      <c r="L163" s="860" t="s">
        <v>516</v>
      </c>
      <c r="M163" s="860"/>
      <c r="N163" s="860"/>
      <c r="O163" s="860"/>
    </row>
    <row r="164" spans="1:15" ht="149.25" customHeight="1" x14ac:dyDescent="0.3">
      <c r="B164" s="29"/>
      <c r="C164" s="30"/>
      <c r="D164" s="30"/>
      <c r="G164" s="859">
        <v>2014</v>
      </c>
      <c r="H164" s="859"/>
      <c r="I164" s="45">
        <v>13</v>
      </c>
      <c r="J164" s="45">
        <v>13</v>
      </c>
      <c r="K164" s="60">
        <f t="shared" si="4"/>
        <v>1</v>
      </c>
      <c r="L164" s="860" t="s">
        <v>534</v>
      </c>
      <c r="M164" s="860"/>
      <c r="N164" s="860"/>
      <c r="O164" s="860"/>
    </row>
    <row r="165" spans="1:15" ht="94.5" customHeight="1" x14ac:dyDescent="0.25">
      <c r="G165" s="859">
        <v>2015</v>
      </c>
      <c r="H165" s="859"/>
      <c r="I165" s="45">
        <v>7</v>
      </c>
      <c r="J165" s="45">
        <v>7</v>
      </c>
      <c r="K165" s="60">
        <f t="shared" si="4"/>
        <v>1</v>
      </c>
      <c r="L165" s="874" t="s">
        <v>756</v>
      </c>
      <c r="M165" s="875"/>
      <c r="N165" s="875"/>
      <c r="O165" s="876"/>
    </row>
    <row r="166" spans="1:15" ht="94.5" customHeight="1" x14ac:dyDescent="0.25">
      <c r="G166" s="880">
        <v>2016</v>
      </c>
      <c r="H166" s="40" t="s">
        <v>841</v>
      </c>
      <c r="I166" s="45">
        <v>5</v>
      </c>
      <c r="J166" s="45">
        <v>5</v>
      </c>
      <c r="K166" s="60">
        <f t="shared" si="4"/>
        <v>1</v>
      </c>
      <c r="L166" s="874" t="s">
        <v>842</v>
      </c>
      <c r="M166" s="875"/>
      <c r="N166" s="875"/>
      <c r="O166" s="876"/>
    </row>
    <row r="167" spans="1:15" ht="94.5" customHeight="1" x14ac:dyDescent="0.25">
      <c r="G167" s="882"/>
      <c r="H167" s="40" t="s">
        <v>843</v>
      </c>
      <c r="I167" s="45"/>
      <c r="J167" s="45"/>
      <c r="K167" s="60"/>
      <c r="L167" s="874"/>
      <c r="M167" s="875"/>
      <c r="N167" s="875"/>
      <c r="O167" s="876"/>
    </row>
    <row r="168" spans="1:15" ht="24.75" customHeight="1" x14ac:dyDescent="0.25"/>
    <row r="169" spans="1:15" ht="18" x14ac:dyDescent="0.25">
      <c r="A169" s="1357" t="str">
        <f>+D18</f>
        <v>PORCENTAJE (%)  DE ACCIONES CORRECTIVAS DE SERVICIOS NO CONFORMES ESTABLECIDAS  EFICAZMENTE.</v>
      </c>
      <c r="B169" s="1358"/>
      <c r="C169" s="1358"/>
      <c r="D169" s="1358"/>
      <c r="E169" s="1358"/>
      <c r="F169" s="1358"/>
      <c r="G169" s="1358"/>
      <c r="H169" s="1358"/>
      <c r="I169" s="1358"/>
      <c r="J169" s="1358"/>
      <c r="K169" s="1358"/>
      <c r="L169" s="1358"/>
      <c r="M169" s="1358"/>
      <c r="N169" s="1358"/>
      <c r="O169" s="1359"/>
    </row>
    <row r="170" spans="1:15" x14ac:dyDescent="0.25">
      <c r="A170" s="5"/>
    </row>
    <row r="171" spans="1:15" ht="30" customHeight="1" x14ac:dyDescent="0.25">
      <c r="A171" s="26"/>
      <c r="G171" s="39">
        <v>2012</v>
      </c>
      <c r="H171" s="39">
        <v>2013</v>
      </c>
      <c r="I171" s="39">
        <v>2014</v>
      </c>
      <c r="J171" s="39">
        <v>2015</v>
      </c>
      <c r="K171" s="39">
        <v>2016</v>
      </c>
    </row>
    <row r="172" spans="1:15" ht="34.5" customHeight="1" x14ac:dyDescent="0.25">
      <c r="A172" s="856" t="s">
        <v>135</v>
      </c>
      <c r="B172" s="857"/>
      <c r="C172" s="857"/>
      <c r="D172" s="857"/>
      <c r="E172" s="857"/>
      <c r="F172" s="857"/>
      <c r="G172" s="27">
        <v>0.75</v>
      </c>
      <c r="H172" s="27">
        <v>1</v>
      </c>
      <c r="I172" s="27">
        <v>0.94</v>
      </c>
      <c r="J172" s="27">
        <f>+K185</f>
        <v>1</v>
      </c>
      <c r="K172" s="27">
        <v>1</v>
      </c>
    </row>
    <row r="173" spans="1:15" ht="34.5" customHeight="1" x14ac:dyDescent="0.25">
      <c r="A173" s="856" t="s">
        <v>76</v>
      </c>
      <c r="B173" s="857"/>
      <c r="C173" s="857"/>
      <c r="D173" s="857"/>
      <c r="E173" s="857"/>
      <c r="F173" s="857"/>
      <c r="G173" s="27">
        <v>0.9</v>
      </c>
      <c r="H173" s="27">
        <v>0.9</v>
      </c>
      <c r="I173" s="27">
        <v>0.9</v>
      </c>
      <c r="J173" s="27">
        <v>0.9</v>
      </c>
      <c r="K173" s="27">
        <v>0.9</v>
      </c>
    </row>
    <row r="174" spans="1:15" x14ac:dyDescent="0.25">
      <c r="A174" s="5"/>
    </row>
    <row r="175" spans="1:15" ht="17.5" x14ac:dyDescent="0.25">
      <c r="A175" s="5"/>
      <c r="B175" s="28"/>
      <c r="C175" s="28"/>
      <c r="D175" s="28"/>
      <c r="G175" s="1165" t="s">
        <v>77</v>
      </c>
      <c r="H175" s="1165"/>
      <c r="I175" s="1165" t="s">
        <v>78</v>
      </c>
      <c r="J175" s="1165"/>
      <c r="K175" s="1165"/>
      <c r="L175" s="1165" t="s">
        <v>79</v>
      </c>
      <c r="M175" s="1165"/>
      <c r="N175" s="1165"/>
      <c r="O175" s="1165"/>
    </row>
    <row r="176" spans="1:15" ht="122.5" x14ac:dyDescent="0.25">
      <c r="A176" s="5"/>
      <c r="G176" s="1165"/>
      <c r="H176" s="1165"/>
      <c r="I176" s="99" t="s">
        <v>136</v>
      </c>
      <c r="J176" s="99" t="s">
        <v>137</v>
      </c>
      <c r="K176" s="99" t="s">
        <v>138</v>
      </c>
      <c r="L176" s="1165"/>
      <c r="M176" s="1165"/>
      <c r="N176" s="1165"/>
      <c r="O176" s="1165"/>
    </row>
    <row r="177" spans="1:15" ht="223.5" customHeight="1" x14ac:dyDescent="0.3">
      <c r="B177" s="29"/>
      <c r="C177" s="30"/>
      <c r="D177" s="30"/>
      <c r="G177" s="859">
        <v>2012</v>
      </c>
      <c r="H177" s="859"/>
      <c r="I177" s="1310" t="s">
        <v>517</v>
      </c>
      <c r="J177" s="1310"/>
      <c r="K177" s="1310"/>
      <c r="L177" s="1311" t="s">
        <v>518</v>
      </c>
      <c r="M177" s="1312"/>
      <c r="N177" s="1312"/>
      <c r="O177" s="1313"/>
    </row>
    <row r="178" spans="1:15" ht="135" customHeight="1" x14ac:dyDescent="0.3">
      <c r="B178" s="29"/>
      <c r="C178" s="30"/>
      <c r="D178" s="30"/>
      <c r="G178" s="859">
        <v>2013</v>
      </c>
      <c r="H178" s="859"/>
      <c r="I178" s="1315">
        <v>1</v>
      </c>
      <c r="J178" s="1310"/>
      <c r="K178" s="1310"/>
      <c r="L178" s="1311" t="s">
        <v>519</v>
      </c>
      <c r="M178" s="1312"/>
      <c r="N178" s="1312"/>
      <c r="O178" s="1313"/>
    </row>
    <row r="179" spans="1:15" ht="157.5" hidden="1" customHeight="1" x14ac:dyDescent="0.3">
      <c r="B179" s="29"/>
      <c r="C179" s="30"/>
      <c r="D179" s="30"/>
      <c r="G179" s="1018">
        <v>2014</v>
      </c>
      <c r="H179" s="1019"/>
      <c r="I179" s="45">
        <v>8</v>
      </c>
      <c r="J179" s="45">
        <v>9</v>
      </c>
      <c r="K179" s="60">
        <f>+I179/J179</f>
        <v>0.88888888888888884</v>
      </c>
      <c r="L179" s="1367" t="s">
        <v>789</v>
      </c>
      <c r="M179" s="1368"/>
      <c r="N179" s="1368"/>
      <c r="O179" s="1369"/>
    </row>
    <row r="180" spans="1:15" ht="195" hidden="1" customHeight="1" x14ac:dyDescent="0.3">
      <c r="B180" s="29"/>
      <c r="C180" s="30"/>
      <c r="D180" s="30"/>
      <c r="G180" s="1231"/>
      <c r="H180" s="1232"/>
      <c r="I180" s="45">
        <v>4</v>
      </c>
      <c r="J180" s="45">
        <v>4</v>
      </c>
      <c r="K180" s="60">
        <f>+I180/J180</f>
        <v>1</v>
      </c>
      <c r="L180" s="1370"/>
      <c r="M180" s="1371"/>
      <c r="N180" s="1371"/>
      <c r="O180" s="1372"/>
    </row>
    <row r="181" spans="1:15" ht="195" customHeight="1" x14ac:dyDescent="0.3">
      <c r="B181" s="29"/>
      <c r="C181" s="30"/>
      <c r="D181" s="30"/>
      <c r="G181" s="1231"/>
      <c r="H181" s="1232"/>
      <c r="I181" s="1159">
        <f>SUM(I179:I180)</f>
        <v>12</v>
      </c>
      <c r="J181" s="1159">
        <f>SUM(J179:J180)</f>
        <v>13</v>
      </c>
      <c r="K181" s="1162">
        <f>+I181/J181</f>
        <v>0.92307692307692313</v>
      </c>
      <c r="L181" s="1370"/>
      <c r="M181" s="1371"/>
      <c r="N181" s="1371"/>
      <c r="O181" s="1372"/>
    </row>
    <row r="182" spans="1:15" ht="409.5" customHeight="1" x14ac:dyDescent="0.3">
      <c r="B182" s="29"/>
      <c r="C182" s="30"/>
      <c r="D182" s="30"/>
      <c r="G182" s="1020"/>
      <c r="H182" s="1021"/>
      <c r="I182" s="1161"/>
      <c r="J182" s="1161"/>
      <c r="K182" s="1164"/>
      <c r="L182" s="1373"/>
      <c r="M182" s="1374"/>
      <c r="N182" s="1374"/>
      <c r="O182" s="1375"/>
    </row>
    <row r="183" spans="1:15" ht="107.25" hidden="1" customHeight="1" x14ac:dyDescent="0.3">
      <c r="B183" s="29"/>
      <c r="C183" s="30"/>
      <c r="D183" s="30"/>
      <c r="G183" s="1018">
        <v>2015</v>
      </c>
      <c r="H183" s="1019"/>
      <c r="I183" s="45">
        <v>6</v>
      </c>
      <c r="J183" s="45">
        <v>6</v>
      </c>
      <c r="K183" s="60">
        <f>+I183/J183</f>
        <v>1</v>
      </c>
      <c r="L183" s="1296" t="s">
        <v>844</v>
      </c>
      <c r="M183" s="1297"/>
      <c r="N183" s="1297"/>
      <c r="O183" s="1298"/>
    </row>
    <row r="184" spans="1:15" ht="71.25" hidden="1" customHeight="1" x14ac:dyDescent="0.3">
      <c r="B184" s="29"/>
      <c r="C184" s="30"/>
      <c r="D184" s="30"/>
      <c r="G184" s="1231"/>
      <c r="H184" s="1232"/>
      <c r="I184" s="45">
        <v>4</v>
      </c>
      <c r="J184" s="45">
        <v>4</v>
      </c>
      <c r="K184" s="60">
        <f>+I184/J184</f>
        <v>1</v>
      </c>
      <c r="L184" s="1299"/>
      <c r="M184" s="1300"/>
      <c r="N184" s="1300"/>
      <c r="O184" s="1301"/>
    </row>
    <row r="185" spans="1:15" ht="363" customHeight="1" x14ac:dyDescent="0.25">
      <c r="G185" s="1020"/>
      <c r="H185" s="1021"/>
      <c r="I185" s="45">
        <f>SUM(I183:I184)</f>
        <v>10</v>
      </c>
      <c r="J185" s="45">
        <f>SUM(J183:J184)</f>
        <v>10</v>
      </c>
      <c r="K185" s="60">
        <f>+I185/J185</f>
        <v>1</v>
      </c>
      <c r="L185" s="1302"/>
      <c r="M185" s="1303"/>
      <c r="N185" s="1303"/>
      <c r="O185" s="1304"/>
    </row>
    <row r="186" spans="1:15" ht="30" customHeight="1" x14ac:dyDescent="0.25">
      <c r="G186" s="880">
        <v>2016</v>
      </c>
      <c r="H186" s="45" t="s">
        <v>141</v>
      </c>
      <c r="I186" s="45">
        <v>13</v>
      </c>
      <c r="J186" s="45">
        <v>13</v>
      </c>
      <c r="K186" s="60">
        <f>+I186/J186</f>
        <v>1</v>
      </c>
      <c r="L186" s="1296" t="s">
        <v>845</v>
      </c>
      <c r="M186" s="1297"/>
      <c r="N186" s="1297"/>
      <c r="O186" s="1298"/>
    </row>
    <row r="187" spans="1:15" ht="24.75" customHeight="1" x14ac:dyDescent="0.25">
      <c r="G187" s="881"/>
      <c r="H187" s="45" t="s">
        <v>142</v>
      </c>
      <c r="I187" s="45"/>
      <c r="J187" s="45"/>
      <c r="K187" s="60"/>
      <c r="L187" s="1299"/>
      <c r="M187" s="1300"/>
      <c r="N187" s="1300"/>
      <c r="O187" s="1301"/>
    </row>
    <row r="188" spans="1:15" ht="30" customHeight="1" x14ac:dyDescent="0.25">
      <c r="G188" s="882"/>
      <c r="H188" s="45" t="s">
        <v>81</v>
      </c>
      <c r="I188" s="45">
        <f>SUM(I186:I187)</f>
        <v>13</v>
      </c>
      <c r="J188" s="45">
        <f>SUM(J186:J187)</f>
        <v>13</v>
      </c>
      <c r="K188" s="60">
        <f>+I188/J188</f>
        <v>1</v>
      </c>
      <c r="L188" s="1302"/>
      <c r="M188" s="1303"/>
      <c r="N188" s="1303"/>
      <c r="O188" s="1304"/>
    </row>
    <row r="190" spans="1:15" s="199" customFormat="1" ht="21" customHeight="1" x14ac:dyDescent="0.35">
      <c r="A190" s="1314">
        <f>+'Hoja 11. TABLA DE CONTROL'!B77</f>
        <v>0</v>
      </c>
      <c r="B190" s="1308"/>
      <c r="C190" s="1308"/>
      <c r="D190" s="1308"/>
      <c r="E190" s="1308"/>
      <c r="F190" s="1308"/>
      <c r="G190" s="1308"/>
      <c r="H190" s="1308"/>
      <c r="I190" s="1308"/>
      <c r="J190" s="1308"/>
      <c r="K190" s="1308"/>
      <c r="L190" s="1308"/>
      <c r="M190" s="1308"/>
      <c r="N190" s="1308"/>
      <c r="O190" s="1308"/>
    </row>
    <row r="191" spans="1:15" x14ac:dyDescent="0.25">
      <c r="A191" s="269" t="s">
        <v>76</v>
      </c>
      <c r="B191" s="269" t="s">
        <v>95</v>
      </c>
      <c r="C191" s="1186" t="s">
        <v>78</v>
      </c>
      <c r="D191" s="1186"/>
      <c r="E191" s="1186"/>
      <c r="F191" s="1186"/>
      <c r="G191" s="1186"/>
      <c r="H191" s="1186" t="s">
        <v>79</v>
      </c>
      <c r="I191" s="1186"/>
      <c r="J191" s="1186"/>
      <c r="K191" s="1186"/>
      <c r="L191" s="1186"/>
      <c r="M191" s="1186"/>
      <c r="N191" s="1186"/>
      <c r="O191" s="1186"/>
    </row>
    <row r="192" spans="1:15" s="148" customFormat="1" ht="73.5" customHeight="1" x14ac:dyDescent="0.25">
      <c r="A192" s="218">
        <f>+'Hoja 11. TABLA DE CONTROL'!C77</f>
        <v>0</v>
      </c>
      <c r="B192" s="255">
        <v>0.3</v>
      </c>
      <c r="C192" s="1322"/>
      <c r="D192" s="1323"/>
      <c r="E192" s="1323"/>
      <c r="F192" s="1323"/>
      <c r="G192" s="1324"/>
      <c r="H192" s="1305" t="s">
        <v>846</v>
      </c>
      <c r="I192" s="1306"/>
      <c r="J192" s="1306"/>
      <c r="K192" s="1306"/>
      <c r="L192" s="1306"/>
      <c r="M192" s="1306"/>
      <c r="N192" s="1306"/>
      <c r="O192" s="1307"/>
    </row>
    <row r="194" spans="1:15" ht="21.75" customHeight="1" x14ac:dyDescent="0.25">
      <c r="A194" s="1308">
        <f>+'Hoja 11. TABLA DE CONTROL'!B78</f>
        <v>0</v>
      </c>
      <c r="B194" s="1308"/>
      <c r="C194" s="1308"/>
      <c r="D194" s="1308"/>
      <c r="E194" s="1308"/>
      <c r="F194" s="1308"/>
      <c r="G194" s="1308"/>
      <c r="H194" s="1308"/>
      <c r="I194" s="1308"/>
      <c r="J194" s="1308"/>
      <c r="K194" s="1308"/>
      <c r="L194" s="1308"/>
      <c r="M194" s="1308"/>
      <c r="N194" s="1308"/>
      <c r="O194" s="1308"/>
    </row>
    <row r="195" spans="1:15" x14ac:dyDescent="0.25">
      <c r="A195" s="269" t="s">
        <v>76</v>
      </c>
      <c r="B195" s="269" t="s">
        <v>95</v>
      </c>
      <c r="C195" s="1186" t="s">
        <v>78</v>
      </c>
      <c r="D195" s="1186"/>
      <c r="E195" s="1186"/>
      <c r="F195" s="1186"/>
      <c r="G195" s="1186"/>
      <c r="H195" s="1186" t="s">
        <v>79</v>
      </c>
      <c r="I195" s="1186"/>
      <c r="J195" s="1186"/>
      <c r="K195" s="1186"/>
      <c r="L195" s="1186"/>
      <c r="M195" s="1186"/>
      <c r="N195" s="1186"/>
      <c r="O195" s="1186"/>
    </row>
    <row r="196" spans="1:15" ht="73.5" customHeight="1" x14ac:dyDescent="0.25">
      <c r="A196" s="95">
        <f>+'Hoja 11. TABLA DE CONTROL'!C78</f>
        <v>0</v>
      </c>
      <c r="B196" s="255">
        <v>0.3</v>
      </c>
      <c r="C196" s="1322"/>
      <c r="D196" s="1323"/>
      <c r="E196" s="1323"/>
      <c r="F196" s="1323"/>
      <c r="G196" s="1324"/>
      <c r="H196" s="1305" t="s">
        <v>847</v>
      </c>
      <c r="I196" s="1306"/>
      <c r="J196" s="1306"/>
      <c r="K196" s="1306"/>
      <c r="L196" s="1306"/>
      <c r="M196" s="1306"/>
      <c r="N196" s="1306"/>
      <c r="O196" s="1307"/>
    </row>
    <row r="198" spans="1:15" ht="22.5" customHeight="1" x14ac:dyDescent="0.25">
      <c r="A198" s="1314">
        <f>+'Hoja 11. TABLA DE CONTROL'!B79</f>
        <v>0</v>
      </c>
      <c r="B198" s="1308"/>
      <c r="C198" s="1308"/>
      <c r="D198" s="1308"/>
      <c r="E198" s="1308"/>
      <c r="F198" s="1308"/>
      <c r="G198" s="1308"/>
      <c r="H198" s="1308"/>
      <c r="I198" s="1308"/>
      <c r="J198" s="1308"/>
      <c r="K198" s="1308"/>
      <c r="L198" s="1308"/>
      <c r="M198" s="1308"/>
      <c r="N198" s="1308"/>
      <c r="O198" s="1308"/>
    </row>
    <row r="199" spans="1:15" ht="14.25" customHeight="1" x14ac:dyDescent="0.25">
      <c r="A199" s="269" t="s">
        <v>76</v>
      </c>
      <c r="B199" s="269" t="s">
        <v>95</v>
      </c>
      <c r="C199" s="1186" t="s">
        <v>78</v>
      </c>
      <c r="D199" s="1186"/>
      <c r="E199" s="1186"/>
      <c r="F199" s="1186"/>
      <c r="G199" s="1186"/>
      <c r="H199" s="1186" t="s">
        <v>79</v>
      </c>
      <c r="I199" s="1186"/>
      <c r="J199" s="1186"/>
      <c r="K199" s="1186"/>
      <c r="L199" s="1186"/>
      <c r="M199" s="1186"/>
      <c r="N199" s="1186"/>
      <c r="O199" s="1186"/>
    </row>
    <row r="200" spans="1:15" ht="87.75" customHeight="1" x14ac:dyDescent="0.25">
      <c r="A200" s="95">
        <f>+'Hoja 11. TABLA DE CONTROL'!C79</f>
        <v>0</v>
      </c>
      <c r="B200" s="248">
        <v>1</v>
      </c>
      <c r="C200" s="1322"/>
      <c r="D200" s="1323"/>
      <c r="E200" s="1323"/>
      <c r="F200" s="1323"/>
      <c r="G200" s="1324"/>
      <c r="H200" s="1305" t="s">
        <v>848</v>
      </c>
      <c r="I200" s="1306"/>
      <c r="J200" s="1306"/>
      <c r="K200" s="1306"/>
      <c r="L200" s="1306"/>
      <c r="M200" s="1306"/>
      <c r="N200" s="1306"/>
      <c r="O200" s="1307"/>
    </row>
    <row r="202" spans="1:15" ht="13.5" customHeight="1" x14ac:dyDescent="0.25">
      <c r="A202" s="276"/>
      <c r="B202" s="277"/>
      <c r="C202" s="278"/>
      <c r="D202" s="278"/>
      <c r="E202" s="278"/>
      <c r="F202" s="278"/>
      <c r="G202" s="278"/>
      <c r="H202" s="279"/>
      <c r="I202" s="279"/>
      <c r="J202" s="279"/>
      <c r="K202" s="279"/>
      <c r="L202" s="279"/>
      <c r="M202" s="279"/>
      <c r="N202" s="279"/>
      <c r="O202" s="279"/>
    </row>
    <row r="203" spans="1:15" ht="24.75" customHeight="1" x14ac:dyDescent="0.25">
      <c r="A203" s="1308">
        <f>+'Hoja 11. TABLA DE CONTROL'!B81</f>
        <v>0</v>
      </c>
      <c r="B203" s="1308"/>
      <c r="C203" s="1308"/>
      <c r="D203" s="1308"/>
      <c r="E203" s="1308"/>
      <c r="F203" s="1308"/>
      <c r="G203" s="1308"/>
      <c r="H203" s="1308"/>
      <c r="I203" s="1308"/>
      <c r="J203" s="1308"/>
      <c r="K203" s="1308"/>
      <c r="L203" s="1308"/>
      <c r="M203" s="1308"/>
      <c r="N203" s="1308"/>
      <c r="O203" s="1308"/>
    </row>
    <row r="204" spans="1:15" ht="29.25" customHeight="1" x14ac:dyDescent="0.25">
      <c r="A204" s="269" t="s">
        <v>76</v>
      </c>
      <c r="B204" s="269" t="s">
        <v>95</v>
      </c>
      <c r="C204" s="1186" t="s">
        <v>78</v>
      </c>
      <c r="D204" s="1186"/>
      <c r="E204" s="1186"/>
      <c r="F204" s="1186"/>
      <c r="G204" s="1186"/>
      <c r="H204" s="1186" t="s">
        <v>79</v>
      </c>
      <c r="I204" s="1186"/>
      <c r="J204" s="1186"/>
      <c r="K204" s="1186"/>
      <c r="L204" s="1186"/>
      <c r="M204" s="1186"/>
      <c r="N204" s="1186"/>
      <c r="O204" s="1186"/>
    </row>
    <row r="205" spans="1:15" ht="59.25" customHeight="1" x14ac:dyDescent="0.25">
      <c r="A205" s="95">
        <f>+'Hoja 11. TABLA DE CONTROL'!C81</f>
        <v>0</v>
      </c>
      <c r="B205" s="248">
        <v>0.3</v>
      </c>
      <c r="C205" s="997"/>
      <c r="D205" s="997"/>
      <c r="E205" s="997"/>
      <c r="F205" s="997"/>
      <c r="G205" s="997"/>
      <c r="H205" s="1000" t="s">
        <v>849</v>
      </c>
      <c r="I205" s="1001"/>
      <c r="J205" s="1001"/>
      <c r="K205" s="1001"/>
      <c r="L205" s="1001"/>
      <c r="M205" s="1001"/>
      <c r="N205" s="1001"/>
      <c r="O205" s="1002"/>
    </row>
    <row r="206" spans="1:15" ht="12.75" customHeight="1" x14ac:dyDescent="0.25">
      <c r="A206" s="1309"/>
      <c r="B206" s="1309"/>
      <c r="C206" s="1309"/>
      <c r="D206" s="1309"/>
      <c r="E206" s="1309"/>
      <c r="F206" s="1309"/>
      <c r="G206" s="1309"/>
      <c r="H206" s="1309"/>
      <c r="I206" s="1309"/>
      <c r="J206" s="1309"/>
      <c r="K206" s="1309"/>
      <c r="L206" s="1309"/>
      <c r="M206" s="1309"/>
      <c r="N206" s="1309"/>
      <c r="O206" s="1309"/>
    </row>
    <row r="207" spans="1:15" x14ac:dyDescent="0.25">
      <c r="A207" s="28"/>
      <c r="B207" s="28"/>
      <c r="C207" s="28"/>
      <c r="D207" s="28"/>
      <c r="E207" s="28"/>
      <c r="F207" s="28"/>
      <c r="G207" s="28"/>
      <c r="H207" s="28"/>
      <c r="I207" s="28"/>
      <c r="J207" s="28"/>
      <c r="K207" s="28"/>
      <c r="L207" s="28"/>
      <c r="M207" s="28"/>
      <c r="N207" s="28"/>
      <c r="O207" s="28"/>
    </row>
    <row r="208" spans="1:15" x14ac:dyDescent="0.25">
      <c r="A208" s="28"/>
      <c r="B208" s="28"/>
      <c r="C208" s="28"/>
      <c r="D208" s="28"/>
      <c r="E208" s="28"/>
      <c r="F208" s="28"/>
      <c r="G208" s="28"/>
      <c r="H208" s="28"/>
      <c r="I208" s="28"/>
      <c r="J208" s="28"/>
      <c r="K208" s="28"/>
      <c r="L208" s="28"/>
      <c r="M208" s="28"/>
      <c r="N208" s="28"/>
      <c r="O208" s="28"/>
    </row>
    <row r="209" spans="1:15" x14ac:dyDescent="0.25">
      <c r="A209" s="28"/>
      <c r="B209" s="28"/>
      <c r="C209" s="28"/>
      <c r="D209" s="28"/>
      <c r="E209" s="28"/>
      <c r="F209" s="28"/>
      <c r="G209" s="28"/>
      <c r="H209" s="28"/>
      <c r="I209" s="28"/>
      <c r="J209" s="28"/>
      <c r="K209" s="28"/>
      <c r="L209" s="28"/>
      <c r="M209" s="28"/>
      <c r="N209" s="28"/>
      <c r="O209" s="28"/>
    </row>
  </sheetData>
  <mergeCells count="234">
    <mergeCell ref="L179:O182"/>
    <mergeCell ref="L178:O178"/>
    <mergeCell ref="A169:O169"/>
    <mergeCell ref="A172:F172"/>
    <mergeCell ref="A173:F173"/>
    <mergeCell ref="G175:H176"/>
    <mergeCell ref="I175:K175"/>
    <mergeCell ref="I136:J147"/>
    <mergeCell ref="G89:H91"/>
    <mergeCell ref="I89:J89"/>
    <mergeCell ref="G107:H109"/>
    <mergeCell ref="I107:J107"/>
    <mergeCell ref="I90:J90"/>
    <mergeCell ref="I91:J91"/>
    <mergeCell ref="G104:H106"/>
    <mergeCell ref="I104:J104"/>
    <mergeCell ref="I105:J105"/>
    <mergeCell ref="I106:J106"/>
    <mergeCell ref="I108:J108"/>
    <mergeCell ref="I109:J109"/>
    <mergeCell ref="G157:H158"/>
    <mergeCell ref="I157:K157"/>
    <mergeCell ref="L157:O158"/>
    <mergeCell ref="G110:G148"/>
    <mergeCell ref="I110:J121"/>
    <mergeCell ref="H122:J122"/>
    <mergeCell ref="J32:J34"/>
    <mergeCell ref="K32:K34"/>
    <mergeCell ref="A151:O151"/>
    <mergeCell ref="A154:F154"/>
    <mergeCell ref="A155:F155"/>
    <mergeCell ref="I123:J134"/>
    <mergeCell ref="H135:J135"/>
    <mergeCell ref="D32:D34"/>
    <mergeCell ref="E32:E34"/>
    <mergeCell ref="F32:F34"/>
    <mergeCell ref="G32:I34"/>
    <mergeCell ref="A43:F43"/>
    <mergeCell ref="A73:F73"/>
    <mergeCell ref="A76:F76"/>
    <mergeCell ref="N58:O60"/>
    <mergeCell ref="G61:G63"/>
    <mergeCell ref="N110:O122"/>
    <mergeCell ref="N123:O135"/>
    <mergeCell ref="N61:O63"/>
    <mergeCell ref="N104:O106"/>
    <mergeCell ref="G86:H88"/>
    <mergeCell ref="N78:O79"/>
    <mergeCell ref="I79:J79"/>
    <mergeCell ref="G52:G54"/>
    <mergeCell ref="N52:O54"/>
    <mergeCell ref="A36:O36"/>
    <mergeCell ref="G29:I31"/>
    <mergeCell ref="J29:J31"/>
    <mergeCell ref="C27:C28"/>
    <mergeCell ref="D27:D28"/>
    <mergeCell ref="E27:E28"/>
    <mergeCell ref="F27:F28"/>
    <mergeCell ref="G27:I28"/>
    <mergeCell ref="J27:J28"/>
    <mergeCell ref="G78:H79"/>
    <mergeCell ref="I78:M78"/>
    <mergeCell ref="E29:E31"/>
    <mergeCell ref="F29:F31"/>
    <mergeCell ref="G64:G66"/>
    <mergeCell ref="N64:O66"/>
    <mergeCell ref="G55:G57"/>
    <mergeCell ref="N55:O57"/>
    <mergeCell ref="N27:N28"/>
    <mergeCell ref="O27:O28"/>
    <mergeCell ref="N107:O109"/>
    <mergeCell ref="N89:O91"/>
    <mergeCell ref="I86:J86"/>
    <mergeCell ref="N86:O88"/>
    <mergeCell ref="I87:J87"/>
    <mergeCell ref="I88:J88"/>
    <mergeCell ref="G83:H85"/>
    <mergeCell ref="I83:J83"/>
    <mergeCell ref="N83:O85"/>
    <mergeCell ref="I84:J84"/>
    <mergeCell ref="I85:J85"/>
    <mergeCell ref="K24:K26"/>
    <mergeCell ref="A39:F39"/>
    <mergeCell ref="A44:F44"/>
    <mergeCell ref="G46:G48"/>
    <mergeCell ref="H46:M46"/>
    <mergeCell ref="N46:O48"/>
    <mergeCell ref="H47:H48"/>
    <mergeCell ref="N32:N34"/>
    <mergeCell ref="O32:O34"/>
    <mergeCell ref="I47:L47"/>
    <mergeCell ref="M47:M48"/>
    <mergeCell ref="K27:K28"/>
    <mergeCell ref="A1:D1"/>
    <mergeCell ref="O29:O31"/>
    <mergeCell ref="N24:N26"/>
    <mergeCell ref="N29:N31"/>
    <mergeCell ref="K18:K20"/>
    <mergeCell ref="N18:N20"/>
    <mergeCell ref="O18:O20"/>
    <mergeCell ref="C24:C26"/>
    <mergeCell ref="D24:D26"/>
    <mergeCell ref="E24:E26"/>
    <mergeCell ref="O24:O26"/>
    <mergeCell ref="C29:C31"/>
    <mergeCell ref="D29:D31"/>
    <mergeCell ref="C12:C14"/>
    <mergeCell ref="D12:D14"/>
    <mergeCell ref="E12:E14"/>
    <mergeCell ref="F12:F14"/>
    <mergeCell ref="O12:O14"/>
    <mergeCell ref="C15:C17"/>
    <mergeCell ref="A9:B34"/>
    <mergeCell ref="C32:C34"/>
    <mergeCell ref="K29:K31"/>
    <mergeCell ref="F24:F26"/>
    <mergeCell ref="G24:I26"/>
    <mergeCell ref="A2:O2"/>
    <mergeCell ref="A4:B8"/>
    <mergeCell ref="C4:C8"/>
    <mergeCell ref="D4:D8"/>
    <mergeCell ref="E4:E8"/>
    <mergeCell ref="F4:F8"/>
    <mergeCell ref="G4:I4"/>
    <mergeCell ref="J4:J8"/>
    <mergeCell ref="K4:K8"/>
    <mergeCell ref="L4:M4"/>
    <mergeCell ref="N4:N8"/>
    <mergeCell ref="O4:O8"/>
    <mergeCell ref="J9:J11"/>
    <mergeCell ref="K9:K11"/>
    <mergeCell ref="N9:N11"/>
    <mergeCell ref="O9:O11"/>
    <mergeCell ref="C9:C11"/>
    <mergeCell ref="D9:D11"/>
    <mergeCell ref="E9:E11"/>
    <mergeCell ref="F9:F11"/>
    <mergeCell ref="J12:J14"/>
    <mergeCell ref="K12:K14"/>
    <mergeCell ref="N12:N14"/>
    <mergeCell ref="G12:I14"/>
    <mergeCell ref="G9:I11"/>
    <mergeCell ref="D15:D17"/>
    <mergeCell ref="E15:E17"/>
    <mergeCell ref="F15:F17"/>
    <mergeCell ref="G15:I17"/>
    <mergeCell ref="J15:J17"/>
    <mergeCell ref="K15:K17"/>
    <mergeCell ref="N15:N17"/>
    <mergeCell ref="O15:O17"/>
    <mergeCell ref="F18:F20"/>
    <mergeCell ref="E18:E20"/>
    <mergeCell ref="G18:I20"/>
    <mergeCell ref="C18:C20"/>
    <mergeCell ref="D18:D20"/>
    <mergeCell ref="L159:O159"/>
    <mergeCell ref="G160:H160"/>
    <mergeCell ref="L160:O160"/>
    <mergeCell ref="G161:H161"/>
    <mergeCell ref="L161:O161"/>
    <mergeCell ref="A40:F40"/>
    <mergeCell ref="A41:F41"/>
    <mergeCell ref="A42:F42"/>
    <mergeCell ref="G80:H82"/>
    <mergeCell ref="I80:J80"/>
    <mergeCell ref="N80:O82"/>
    <mergeCell ref="I81:J81"/>
    <mergeCell ref="I82:J82"/>
    <mergeCell ref="G49:G51"/>
    <mergeCell ref="N49:O51"/>
    <mergeCell ref="H148:J148"/>
    <mergeCell ref="A70:O70"/>
    <mergeCell ref="A74:F74"/>
    <mergeCell ref="A75:F75"/>
    <mergeCell ref="G58:G60"/>
    <mergeCell ref="J18:J20"/>
    <mergeCell ref="J24:J26"/>
    <mergeCell ref="N136:O148"/>
    <mergeCell ref="L165:O165"/>
    <mergeCell ref="C196:G196"/>
    <mergeCell ref="A203:O203"/>
    <mergeCell ref="C204:G204"/>
    <mergeCell ref="H204:O204"/>
    <mergeCell ref="H196:O196"/>
    <mergeCell ref="G162:H162"/>
    <mergeCell ref="L162:O162"/>
    <mergeCell ref="G163:H163"/>
    <mergeCell ref="L163:O163"/>
    <mergeCell ref="L164:O164"/>
    <mergeCell ref="C200:G200"/>
    <mergeCell ref="H200:O200"/>
    <mergeCell ref="C192:G192"/>
    <mergeCell ref="I181:I182"/>
    <mergeCell ref="J181:J182"/>
    <mergeCell ref="K181:K182"/>
    <mergeCell ref="G166:G167"/>
    <mergeCell ref="L167:O167"/>
    <mergeCell ref="G164:H164"/>
    <mergeCell ref="G159:H159"/>
    <mergeCell ref="A198:O198"/>
    <mergeCell ref="C199:G199"/>
    <mergeCell ref="H199:O199"/>
    <mergeCell ref="G165:H165"/>
    <mergeCell ref="L183:O185"/>
    <mergeCell ref="G177:H177"/>
    <mergeCell ref="H192:O192"/>
    <mergeCell ref="A194:O194"/>
    <mergeCell ref="A206:O206"/>
    <mergeCell ref="C205:G205"/>
    <mergeCell ref="H205:O205"/>
    <mergeCell ref="I177:K177"/>
    <mergeCell ref="L177:O177"/>
    <mergeCell ref="L166:O166"/>
    <mergeCell ref="L175:O176"/>
    <mergeCell ref="A190:O190"/>
    <mergeCell ref="C191:G191"/>
    <mergeCell ref="H191:O191"/>
    <mergeCell ref="G178:H178"/>
    <mergeCell ref="I178:K178"/>
    <mergeCell ref="G179:H182"/>
    <mergeCell ref="G186:G188"/>
    <mergeCell ref="L186:O188"/>
    <mergeCell ref="G183:H185"/>
    <mergeCell ref="C195:G195"/>
    <mergeCell ref="H195:O195"/>
    <mergeCell ref="C21:C23"/>
    <mergeCell ref="D21:D23"/>
    <mergeCell ref="E21:E23"/>
    <mergeCell ref="F21:F23"/>
    <mergeCell ref="G21:I23"/>
    <mergeCell ref="J21:J23"/>
    <mergeCell ref="K21:K23"/>
    <mergeCell ref="N21:N23"/>
    <mergeCell ref="O21:O23"/>
  </mergeCells>
  <hyperlinks>
    <hyperlink ref="A36:O36" location="'Hoja 11. TABLA DE CONTROL'!B62" display="'Hoja 11. TABLA DE CONTROL'!B62" xr:uid="{00000000-0004-0000-4D00-000000000000}"/>
    <hyperlink ref="A70:O70" location="'Hoja 11. TABLA DE CONTROL'!B63" display="'Hoja 11. TABLA DE CONTROL'!B63" xr:uid="{00000000-0004-0000-4D00-000001000000}"/>
    <hyperlink ref="A151:O151" location="'Hoja 11. TABLA DE CONTROL'!B64" display="'Hoja 11. TABLA DE CONTROL'!B64" xr:uid="{00000000-0004-0000-4D00-000002000000}"/>
    <hyperlink ref="A169:O169" location="'Hoja 11. TABLA DE CONTROL'!B65" display="'Hoja 11. TABLA DE CONTROL'!B65" xr:uid="{00000000-0004-0000-4D00-000003000000}"/>
    <hyperlink ref="A194:N194" location="'Hoja 10.  LABORATORIO DE AGUAS'!A4" display="'Hoja 10.  LABORATORIO DE AGUAS'!A4" xr:uid="{00000000-0004-0000-4D00-000004000000}"/>
    <hyperlink ref="A190:O190" location="'Hoja 11. TABLA DE CONTROL'!B66" display="'Hoja 11. TABLA DE CONTROL'!B66" xr:uid="{00000000-0004-0000-4D00-000005000000}"/>
    <hyperlink ref="A194:O194" location="'Hoja 11. TABLA DE CONTROL'!B67" display="'Hoja 11. TABLA DE CONTROL'!B67" xr:uid="{00000000-0004-0000-4D00-000006000000}"/>
    <hyperlink ref="A198:O198" location="'Hoja 11. TABLA DE CONTROL'!B68" display="'Hoja 11. TABLA DE CONTROL'!B68" xr:uid="{00000000-0004-0000-4D00-000007000000}"/>
    <hyperlink ref="D9:D11" location="'Hoja 10. LABORATORIO DE AGUAS'!A37" display="PORCENTAJE (%) DE PRUEBAS DE INTERCALIBRACIÓN  APROBADAS." xr:uid="{00000000-0004-0000-4D00-000008000000}"/>
    <hyperlink ref="D12:D14" location="'Hoja 10. LABORATORIO DE AGUAS'!A74" display="'Hoja 10. LABORATORIO DE AGUAS'!A74" xr:uid="{00000000-0004-0000-4D00-000009000000}"/>
    <hyperlink ref="D15:D17" location="'Hoja 10. LABORATORIO DE AGUAS'!A176" display="PORCENTAJE (%) DE ENCUESTA DE SATISFACCIÓN CALIFICADAS POR LOS USUARIOS DE ANÁLISIS DE AGUAS CON UNA NOTA SUPERIOR O IGUAL A TRES PUNTO OCHO (3.8) SOBRE CINCO (5.0)." xr:uid="{00000000-0004-0000-4D00-00000A000000}"/>
    <hyperlink ref="D18:D20" location="'Hoja 10. LABORATORIO DE AGUAS'!A192" display="PORCENTAJE (%)  DE ACCIONES CORRECTIVAS DE SERVICIOS NO CONFORMES ESTABLECIDAS  EFICAZMENTE." xr:uid="{00000000-0004-0000-4D00-00000B000000}"/>
    <hyperlink ref="D24:D26" location="'Hoja 10. LABORATORIO DE AGUAS'!A209" display="CONSTRUIR UN SISTEMA DE ABASTECIMIENTO DE AGUA PERMANENTE" xr:uid="{00000000-0004-0000-4D00-00000C000000}"/>
    <hyperlink ref="D29:D31" location="'Hoja 10. LABORATORIO DE AGUAS'!A213" display="N° DE PLANES DE MANTENIMIENTO PREVENTIVO Y CALIBRACIÓN ELABORADOS E IMPLEMENTADOS." xr:uid="{00000000-0004-0000-4D00-00000D000000}"/>
    <hyperlink ref="D32:D34" location="'Hoja 10. LABORATORIO DE AGUAS'!A221" display="CAPACITACIÓN DEL PERSONAL EN SEGURIDAD INDUSTRIAL O SALUD OCUPACIONAL Y/O MANEJO DE EQUIPOS" xr:uid="{00000000-0004-0000-4D00-00000E000000}"/>
    <hyperlink ref="A203:N203" location="'Hoja 10.  LABORATORIO DE AGUAS'!A4" display="'Hoja 10.  LABORATORIO DE AGUAS'!A4" xr:uid="{00000000-0004-0000-4D00-00000F000000}"/>
    <hyperlink ref="A203:O203" location="'Hoja 11. TABLA DE CONTROL'!B68" display="'Hoja 11. TABLA DE CONTROL'!B68" xr:uid="{00000000-0004-0000-4D00-000010000000}"/>
    <hyperlink ref="D27:D28" location="'Hoja 10. LABORATORIO DE AGUAS'!A217" display="INSTALACIÓN DE NUEVAS REDES ELECTRÍCAS" xr:uid="{00000000-0004-0000-4D00-000011000000}"/>
    <hyperlink ref="D21:D23" location="'Hoja 10. LABORATORIO DE AGUAS'!A221" display="CAPACITACIÓN DEL PERSONAL EN SEGURIDAD INDUSTRIAL O SALUD OCUPACIONAL Y/O MANEJO DE EQUIPOS" xr:uid="{00000000-0004-0000-4D00-000012000000}"/>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06
Hoja 10. Indicadores Proceso Laboratorio de Análisis de Aguas
Página &amp;P de &amp;N</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tabColor rgb="FF006600"/>
  </sheetPr>
  <dimension ref="A2:P36"/>
  <sheetViews>
    <sheetView showGridLines="0" zoomScale="40" zoomScaleNormal="40" workbookViewId="0">
      <selection activeCell="S13" sqref="S13"/>
    </sheetView>
  </sheetViews>
  <sheetFormatPr baseColWidth="10" defaultColWidth="11.453125" defaultRowHeight="14" x14ac:dyDescent="0.3"/>
  <cols>
    <col min="1" max="2" width="12.453125" style="594" customWidth="1"/>
    <col min="3" max="3" width="18.90625" style="594" customWidth="1"/>
    <col min="4" max="4" width="24.453125" style="594" customWidth="1"/>
    <col min="5" max="5" width="28.90625" style="594" customWidth="1"/>
    <col min="6" max="6" width="24.08984375" style="594" customWidth="1"/>
    <col min="7" max="7" width="14.6328125" style="594" customWidth="1"/>
    <col min="8" max="8" width="21.08984375" style="594" customWidth="1"/>
    <col min="9" max="9" width="16.6328125" style="594" customWidth="1"/>
    <col min="10" max="10" width="16" style="594" customWidth="1"/>
    <col min="11" max="11" width="15.08984375" style="594" customWidth="1"/>
    <col min="12" max="12" width="25.36328125" style="594" customWidth="1"/>
    <col min="13" max="13" width="41.08984375" style="594" customWidth="1"/>
    <col min="14" max="14" width="18.36328125" style="594" customWidth="1"/>
    <col min="15" max="15" width="21.08984375" style="594" customWidth="1"/>
    <col min="16" max="16" width="28.54296875" style="2" customWidth="1"/>
    <col min="17" max="16384" width="11.453125" style="594"/>
  </cols>
  <sheetData>
    <row r="2" spans="1:16" ht="64.5" customHeight="1" x14ac:dyDescent="0.3">
      <c r="A2" s="1078"/>
      <c r="B2" s="1078"/>
      <c r="C2" s="1078"/>
      <c r="D2" s="1078"/>
      <c r="E2" s="593"/>
      <c r="F2" s="593"/>
      <c r="G2" s="593"/>
      <c r="H2" s="593"/>
      <c r="I2" s="593"/>
      <c r="J2" s="593"/>
      <c r="K2" s="593"/>
      <c r="L2" s="593"/>
      <c r="M2" s="593"/>
      <c r="N2" s="593"/>
      <c r="O2" s="593"/>
    </row>
    <row r="3" spans="1:16" ht="27.75" customHeight="1" x14ac:dyDescent="0.3">
      <c r="A3" s="1210" t="s">
        <v>27</v>
      </c>
      <c r="B3" s="1211"/>
      <c r="C3" s="1211"/>
      <c r="D3" s="1211"/>
      <c r="E3" s="1211"/>
      <c r="F3" s="1211"/>
      <c r="G3" s="1211"/>
      <c r="H3" s="1211"/>
      <c r="I3" s="1211"/>
      <c r="J3" s="1211"/>
      <c r="K3" s="1211"/>
      <c r="L3" s="1211"/>
      <c r="M3" s="1211"/>
      <c r="N3" s="1211"/>
      <c r="O3" s="1211"/>
      <c r="P3" s="1211"/>
    </row>
    <row r="5" spans="1:16" s="595" customFormat="1" ht="41.25" customHeight="1" x14ac:dyDescent="0.35">
      <c r="A5" s="1206" t="s">
        <v>0</v>
      </c>
      <c r="B5" s="1207"/>
      <c r="C5" s="1204" t="s">
        <v>26</v>
      </c>
      <c r="D5" s="1204" t="s">
        <v>1</v>
      </c>
      <c r="E5" s="1204" t="s">
        <v>2</v>
      </c>
      <c r="F5" s="1204" t="s">
        <v>3</v>
      </c>
      <c r="G5" s="1382" t="s">
        <v>1185</v>
      </c>
      <c r="H5" s="1394"/>
      <c r="I5" s="1383"/>
      <c r="J5" s="1204" t="s">
        <v>4</v>
      </c>
      <c r="K5" s="1204" t="s">
        <v>5</v>
      </c>
      <c r="L5" s="1382" t="s">
        <v>1186</v>
      </c>
      <c r="M5" s="1383"/>
      <c r="N5" s="1204" t="s">
        <v>6</v>
      </c>
      <c r="O5" s="1204" t="s">
        <v>7</v>
      </c>
      <c r="P5" s="754" t="s">
        <v>1222</v>
      </c>
    </row>
    <row r="6" spans="1:16" s="595" customFormat="1" ht="63.75" customHeight="1" x14ac:dyDescent="0.35">
      <c r="A6" s="1390"/>
      <c r="B6" s="1391"/>
      <c r="C6" s="1205"/>
      <c r="D6" s="1205"/>
      <c r="E6" s="1205"/>
      <c r="F6" s="1205"/>
      <c r="G6" s="651" t="s">
        <v>31</v>
      </c>
      <c r="H6" s="651" t="s">
        <v>32</v>
      </c>
      <c r="I6" s="651" t="s">
        <v>43</v>
      </c>
      <c r="J6" s="1205"/>
      <c r="K6" s="1205"/>
      <c r="L6" s="651" t="s">
        <v>47</v>
      </c>
      <c r="M6" s="651" t="s">
        <v>48</v>
      </c>
      <c r="N6" s="1205"/>
      <c r="O6" s="1205"/>
      <c r="P6" s="755"/>
    </row>
    <row r="7" spans="1:16" s="595" customFormat="1" ht="75" customHeight="1" x14ac:dyDescent="0.35">
      <c r="A7" s="1390"/>
      <c r="B7" s="1391"/>
      <c r="C7" s="1205"/>
      <c r="D7" s="1205"/>
      <c r="E7" s="1205"/>
      <c r="F7" s="1205"/>
      <c r="G7" s="652" t="s">
        <v>35</v>
      </c>
      <c r="H7" s="653" t="s">
        <v>37</v>
      </c>
      <c r="I7" s="652" t="s">
        <v>40</v>
      </c>
      <c r="J7" s="1205"/>
      <c r="K7" s="1205"/>
      <c r="L7" s="572" t="s">
        <v>44</v>
      </c>
      <c r="M7" s="653" t="s">
        <v>52</v>
      </c>
      <c r="N7" s="1205"/>
      <c r="O7" s="1205"/>
      <c r="P7" s="755"/>
    </row>
    <row r="8" spans="1:16" s="595" customFormat="1" ht="70.5" customHeight="1" x14ac:dyDescent="0.35">
      <c r="A8" s="1390"/>
      <c r="B8" s="1391"/>
      <c r="C8" s="1205"/>
      <c r="D8" s="1205"/>
      <c r="E8" s="1205"/>
      <c r="F8" s="1205"/>
      <c r="G8" s="652" t="s">
        <v>34</v>
      </c>
      <c r="H8" s="653" t="s">
        <v>38</v>
      </c>
      <c r="I8" s="652" t="s">
        <v>41</v>
      </c>
      <c r="J8" s="1205"/>
      <c r="K8" s="1205"/>
      <c r="L8" s="573" t="s">
        <v>45</v>
      </c>
      <c r="M8" s="653" t="s">
        <v>50</v>
      </c>
      <c r="N8" s="1205"/>
      <c r="O8" s="1205"/>
      <c r="P8" s="755"/>
    </row>
    <row r="9" spans="1:16" s="595" customFormat="1" ht="83.25" customHeight="1" x14ac:dyDescent="0.35">
      <c r="A9" s="1392"/>
      <c r="B9" s="1393"/>
      <c r="C9" s="1384"/>
      <c r="D9" s="1384"/>
      <c r="E9" s="1384"/>
      <c r="F9" s="1384"/>
      <c r="G9" s="654" t="s">
        <v>36</v>
      </c>
      <c r="H9" s="655" t="s">
        <v>39</v>
      </c>
      <c r="I9" s="654" t="s">
        <v>42</v>
      </c>
      <c r="J9" s="1384"/>
      <c r="K9" s="1384"/>
      <c r="L9" s="585" t="s">
        <v>46</v>
      </c>
      <c r="M9" s="655" t="s">
        <v>51</v>
      </c>
      <c r="N9" s="1384"/>
      <c r="O9" s="1384"/>
      <c r="P9" s="756"/>
    </row>
    <row r="10" spans="1:16" ht="48" customHeight="1" x14ac:dyDescent="0.3">
      <c r="A10" s="729"/>
      <c r="B10" s="730"/>
      <c r="C10" s="1199"/>
      <c r="D10" s="1377"/>
      <c r="E10" s="737"/>
      <c r="F10" s="740"/>
      <c r="G10" s="737"/>
      <c r="H10" s="737"/>
      <c r="I10" s="737"/>
      <c r="J10" s="1075"/>
      <c r="K10" s="1381"/>
      <c r="L10" s="610" t="s">
        <v>44</v>
      </c>
      <c r="M10" s="581"/>
      <c r="N10" s="737"/>
      <c r="O10" s="737"/>
      <c r="P10" s="782"/>
    </row>
    <row r="11" spans="1:16" ht="48" customHeight="1" x14ac:dyDescent="0.3">
      <c r="A11" s="732"/>
      <c r="B11" s="733"/>
      <c r="C11" s="1200"/>
      <c r="D11" s="1378"/>
      <c r="E11" s="737"/>
      <c r="F11" s="737"/>
      <c r="G11" s="737"/>
      <c r="H11" s="737"/>
      <c r="I11" s="737"/>
      <c r="J11" s="1075"/>
      <c r="K11" s="766"/>
      <c r="L11" s="610" t="s">
        <v>45</v>
      </c>
      <c r="M11" s="582"/>
      <c r="N11" s="737"/>
      <c r="O11" s="737"/>
      <c r="P11" s="783"/>
    </row>
    <row r="12" spans="1:16" ht="48" customHeight="1" x14ac:dyDescent="0.3">
      <c r="A12" s="732"/>
      <c r="B12" s="733"/>
      <c r="C12" s="1201"/>
      <c r="D12" s="1379"/>
      <c r="E12" s="737"/>
      <c r="F12" s="737"/>
      <c r="G12" s="737"/>
      <c r="H12" s="737"/>
      <c r="I12" s="737"/>
      <c r="J12" s="1075"/>
      <c r="K12" s="767"/>
      <c r="L12" s="610" t="s">
        <v>46</v>
      </c>
      <c r="M12" s="583"/>
      <c r="N12" s="737"/>
      <c r="O12" s="737"/>
      <c r="P12" s="783"/>
    </row>
    <row r="13" spans="1:16" ht="48" customHeight="1" x14ac:dyDescent="0.3">
      <c r="A13" s="732"/>
      <c r="B13" s="733"/>
      <c r="C13" s="1199"/>
      <c r="D13" s="1385"/>
      <c r="E13" s="737"/>
      <c r="F13" s="738"/>
      <c r="G13" s="737"/>
      <c r="H13" s="737"/>
      <c r="I13" s="737"/>
      <c r="J13" s="1075"/>
      <c r="K13" s="1381"/>
      <c r="L13" s="610" t="s">
        <v>44</v>
      </c>
      <c r="M13" s="581"/>
      <c r="N13" s="737"/>
      <c r="O13" s="737"/>
      <c r="P13" s="782"/>
    </row>
    <row r="14" spans="1:16" ht="48" customHeight="1" x14ac:dyDescent="0.3">
      <c r="A14" s="732"/>
      <c r="B14" s="733"/>
      <c r="C14" s="1200"/>
      <c r="D14" s="1386"/>
      <c r="E14" s="737"/>
      <c r="F14" s="739"/>
      <c r="G14" s="737"/>
      <c r="H14" s="737"/>
      <c r="I14" s="737"/>
      <c r="J14" s="1075"/>
      <c r="K14" s="766"/>
      <c r="L14" s="610" t="s">
        <v>45</v>
      </c>
      <c r="M14" s="582"/>
      <c r="N14" s="737"/>
      <c r="O14" s="737"/>
      <c r="P14" s="783"/>
    </row>
    <row r="15" spans="1:16" ht="48" customHeight="1" x14ac:dyDescent="0.3">
      <c r="A15" s="732"/>
      <c r="B15" s="733"/>
      <c r="C15" s="1201"/>
      <c r="D15" s="1386"/>
      <c r="E15" s="737"/>
      <c r="F15" s="740"/>
      <c r="G15" s="737"/>
      <c r="H15" s="737"/>
      <c r="I15" s="737"/>
      <c r="J15" s="1075"/>
      <c r="K15" s="767"/>
      <c r="L15" s="610" t="s">
        <v>46</v>
      </c>
      <c r="M15" s="583"/>
      <c r="N15" s="737"/>
      <c r="O15" s="737"/>
      <c r="P15" s="783"/>
    </row>
    <row r="16" spans="1:16" ht="48" customHeight="1" x14ac:dyDescent="0.3">
      <c r="A16" s="732"/>
      <c r="B16" s="733"/>
      <c r="C16" s="1199"/>
      <c r="D16" s="1395"/>
      <c r="E16" s="737"/>
      <c r="F16" s="740"/>
      <c r="G16" s="728"/>
      <c r="H16" s="729"/>
      <c r="I16" s="730"/>
      <c r="J16" s="730"/>
      <c r="K16" s="790"/>
      <c r="L16" s="610" t="s">
        <v>44</v>
      </c>
      <c r="M16" s="615"/>
      <c r="N16" s="737"/>
      <c r="O16" s="737"/>
      <c r="P16" s="782"/>
    </row>
    <row r="17" spans="1:16" ht="48" customHeight="1" x14ac:dyDescent="0.3">
      <c r="A17" s="732"/>
      <c r="B17" s="733"/>
      <c r="C17" s="1200"/>
      <c r="D17" s="1396"/>
      <c r="E17" s="737"/>
      <c r="F17" s="737"/>
      <c r="G17" s="731"/>
      <c r="H17" s="732"/>
      <c r="I17" s="733"/>
      <c r="J17" s="733"/>
      <c r="K17" s="1118"/>
      <c r="L17" s="610" t="s">
        <v>45</v>
      </c>
      <c r="M17" s="582"/>
      <c r="N17" s="737"/>
      <c r="O17" s="737"/>
      <c r="P17" s="783"/>
    </row>
    <row r="18" spans="1:16" ht="48" customHeight="1" x14ac:dyDescent="0.3">
      <c r="A18" s="732"/>
      <c r="B18" s="733"/>
      <c r="C18" s="1201"/>
      <c r="D18" s="1397"/>
      <c r="E18" s="737"/>
      <c r="F18" s="737"/>
      <c r="G18" s="734"/>
      <c r="H18" s="735"/>
      <c r="I18" s="736"/>
      <c r="J18" s="736"/>
      <c r="K18" s="1119"/>
      <c r="L18" s="610" t="s">
        <v>46</v>
      </c>
      <c r="M18" s="583"/>
      <c r="N18" s="737"/>
      <c r="O18" s="737"/>
      <c r="P18" s="783"/>
    </row>
    <row r="19" spans="1:16" ht="48" customHeight="1" x14ac:dyDescent="0.3">
      <c r="A19" s="732"/>
      <c r="B19" s="733"/>
      <c r="C19" s="1199"/>
      <c r="D19" s="1395"/>
      <c r="E19" s="738"/>
      <c r="F19" s="730"/>
      <c r="G19" s="728"/>
      <c r="H19" s="729"/>
      <c r="I19" s="730"/>
      <c r="J19" s="729"/>
      <c r="K19" s="818"/>
      <c r="L19" s="610" t="s">
        <v>44</v>
      </c>
      <c r="M19" s="615"/>
      <c r="N19" s="737"/>
      <c r="O19" s="738"/>
      <c r="P19" s="782"/>
    </row>
    <row r="20" spans="1:16" ht="48" customHeight="1" x14ac:dyDescent="0.3">
      <c r="A20" s="732"/>
      <c r="B20" s="733"/>
      <c r="C20" s="1200"/>
      <c r="D20" s="1396"/>
      <c r="E20" s="739"/>
      <c r="F20" s="733"/>
      <c r="G20" s="731"/>
      <c r="H20" s="732"/>
      <c r="I20" s="733"/>
      <c r="J20" s="732"/>
      <c r="K20" s="1118"/>
      <c r="L20" s="610" t="s">
        <v>45</v>
      </c>
      <c r="M20" s="582"/>
      <c r="N20" s="737"/>
      <c r="O20" s="731"/>
      <c r="P20" s="783"/>
    </row>
    <row r="21" spans="1:16" ht="48" customHeight="1" x14ac:dyDescent="0.3">
      <c r="A21" s="732"/>
      <c r="B21" s="733"/>
      <c r="C21" s="1201"/>
      <c r="D21" s="1397"/>
      <c r="E21" s="740"/>
      <c r="F21" s="736"/>
      <c r="G21" s="734"/>
      <c r="H21" s="735"/>
      <c r="I21" s="736"/>
      <c r="J21" s="735"/>
      <c r="K21" s="1376"/>
      <c r="L21" s="610" t="s">
        <v>46</v>
      </c>
      <c r="M21" s="679"/>
      <c r="N21" s="737"/>
      <c r="O21" s="734"/>
      <c r="P21" s="783"/>
    </row>
    <row r="22" spans="1:16" ht="48" customHeight="1" x14ac:dyDescent="0.3">
      <c r="A22" s="732"/>
      <c r="B22" s="733"/>
      <c r="C22" s="1398"/>
      <c r="D22" s="1395"/>
      <c r="E22" s="738"/>
      <c r="F22" s="730"/>
      <c r="G22" s="728"/>
      <c r="H22" s="729"/>
      <c r="I22" s="730"/>
      <c r="J22" s="729"/>
      <c r="K22" s="818"/>
      <c r="L22" s="610" t="s">
        <v>44</v>
      </c>
      <c r="M22" s="615"/>
      <c r="N22" s="737"/>
      <c r="O22" s="728"/>
      <c r="P22" s="782"/>
    </row>
    <row r="23" spans="1:16" ht="48" customHeight="1" x14ac:dyDescent="0.3">
      <c r="A23" s="732"/>
      <c r="B23" s="733"/>
      <c r="C23" s="1399"/>
      <c r="D23" s="1396"/>
      <c r="E23" s="739"/>
      <c r="F23" s="733"/>
      <c r="G23" s="731"/>
      <c r="H23" s="732"/>
      <c r="I23" s="733"/>
      <c r="J23" s="732"/>
      <c r="K23" s="1118"/>
      <c r="L23" s="610" t="s">
        <v>45</v>
      </c>
      <c r="M23" s="582"/>
      <c r="N23" s="737"/>
      <c r="O23" s="731"/>
      <c r="P23" s="783"/>
    </row>
    <row r="24" spans="1:16" ht="48" customHeight="1" x14ac:dyDescent="0.3">
      <c r="A24" s="732"/>
      <c r="B24" s="733"/>
      <c r="C24" s="1400"/>
      <c r="D24" s="1397"/>
      <c r="E24" s="740"/>
      <c r="F24" s="736"/>
      <c r="G24" s="734"/>
      <c r="H24" s="735"/>
      <c r="I24" s="736"/>
      <c r="J24" s="735"/>
      <c r="K24" s="1376"/>
      <c r="L24" s="610" t="s">
        <v>46</v>
      </c>
      <c r="M24" s="679"/>
      <c r="N24" s="737"/>
      <c r="O24" s="734"/>
      <c r="P24" s="783"/>
    </row>
    <row r="25" spans="1:16" ht="76" customHeight="1" x14ac:dyDescent="0.3">
      <c r="A25" s="732"/>
      <c r="B25" s="733"/>
      <c r="C25" s="1199"/>
      <c r="D25" s="1377"/>
      <c r="E25" s="737"/>
      <c r="F25" s="740"/>
      <c r="G25" s="728"/>
      <c r="H25" s="729"/>
      <c r="I25" s="730"/>
      <c r="J25" s="738"/>
      <c r="K25" s="1106"/>
      <c r="L25" s="610" t="s">
        <v>44</v>
      </c>
      <c r="M25" s="615"/>
      <c r="N25" s="737"/>
      <c r="O25" s="738"/>
      <c r="P25" s="782"/>
    </row>
    <row r="26" spans="1:16" ht="76" customHeight="1" x14ac:dyDescent="0.3">
      <c r="A26" s="732"/>
      <c r="B26" s="733"/>
      <c r="C26" s="1200"/>
      <c r="D26" s="1378"/>
      <c r="E26" s="737"/>
      <c r="F26" s="737"/>
      <c r="G26" s="731"/>
      <c r="H26" s="1380"/>
      <c r="I26" s="733"/>
      <c r="J26" s="739"/>
      <c r="K26" s="791"/>
      <c r="L26" s="610" t="s">
        <v>45</v>
      </c>
      <c r="M26" s="582"/>
      <c r="N26" s="737"/>
      <c r="O26" s="739"/>
      <c r="P26" s="783"/>
    </row>
    <row r="27" spans="1:16" ht="76" customHeight="1" x14ac:dyDescent="0.3">
      <c r="A27" s="732"/>
      <c r="B27" s="733"/>
      <c r="C27" s="1201"/>
      <c r="D27" s="1379"/>
      <c r="E27" s="737"/>
      <c r="F27" s="737"/>
      <c r="G27" s="734"/>
      <c r="H27" s="735"/>
      <c r="I27" s="736"/>
      <c r="J27" s="740"/>
      <c r="K27" s="792"/>
      <c r="L27" s="610" t="s">
        <v>46</v>
      </c>
      <c r="M27" s="583"/>
      <c r="N27" s="737"/>
      <c r="O27" s="740"/>
      <c r="P27" s="783"/>
    </row>
    <row r="28" spans="1:16" ht="66" customHeight="1" x14ac:dyDescent="0.3">
      <c r="A28" s="732"/>
      <c r="B28" s="733"/>
      <c r="C28" s="1199"/>
      <c r="D28" s="1377"/>
      <c r="E28" s="737"/>
      <c r="F28" s="740"/>
      <c r="G28" s="728"/>
      <c r="H28" s="729"/>
      <c r="I28" s="730"/>
      <c r="J28" s="738"/>
      <c r="K28" s="1106"/>
      <c r="L28" s="610" t="s">
        <v>44</v>
      </c>
      <c r="M28" s="584"/>
      <c r="N28" s="737"/>
      <c r="O28" s="738"/>
      <c r="P28" s="782"/>
    </row>
    <row r="29" spans="1:16" ht="66" customHeight="1" x14ac:dyDescent="0.3">
      <c r="A29" s="732"/>
      <c r="B29" s="733"/>
      <c r="C29" s="1200"/>
      <c r="D29" s="1378"/>
      <c r="E29" s="737"/>
      <c r="F29" s="737"/>
      <c r="G29" s="731"/>
      <c r="H29" s="1380"/>
      <c r="I29" s="733"/>
      <c r="J29" s="739"/>
      <c r="K29" s="791"/>
      <c r="L29" s="610" t="s">
        <v>45</v>
      </c>
      <c r="M29" s="577"/>
      <c r="N29" s="737"/>
      <c r="O29" s="739"/>
      <c r="P29" s="783"/>
    </row>
    <row r="30" spans="1:16" ht="66" customHeight="1" x14ac:dyDescent="0.3">
      <c r="A30" s="732"/>
      <c r="B30" s="733"/>
      <c r="C30" s="1201"/>
      <c r="D30" s="1379"/>
      <c r="E30" s="737"/>
      <c r="F30" s="737"/>
      <c r="G30" s="734"/>
      <c r="H30" s="735"/>
      <c r="I30" s="736"/>
      <c r="J30" s="740"/>
      <c r="K30" s="792"/>
      <c r="L30" s="610" t="s">
        <v>46</v>
      </c>
      <c r="M30" s="578"/>
      <c r="N30" s="737"/>
      <c r="O30" s="740"/>
      <c r="P30" s="783"/>
    </row>
    <row r="31" spans="1:16" s="2" customFormat="1" ht="66" customHeight="1" x14ac:dyDescent="0.25">
      <c r="A31" s="732"/>
      <c r="B31" s="733"/>
      <c r="C31" s="1199"/>
      <c r="D31" s="1377"/>
      <c r="E31" s="737"/>
      <c r="F31" s="740"/>
      <c r="G31" s="728"/>
      <c r="H31" s="729"/>
      <c r="I31" s="730"/>
      <c r="J31" s="1387"/>
      <c r="K31" s="1106"/>
      <c r="L31" s="610" t="s">
        <v>44</v>
      </c>
      <c r="M31" s="576"/>
      <c r="N31" s="737"/>
      <c r="O31" s="738"/>
      <c r="P31" s="782"/>
    </row>
    <row r="32" spans="1:16" s="2" customFormat="1" ht="66" customHeight="1" x14ac:dyDescent="0.25">
      <c r="A32" s="732"/>
      <c r="B32" s="733"/>
      <c r="C32" s="1200"/>
      <c r="D32" s="1378"/>
      <c r="E32" s="737"/>
      <c r="F32" s="737"/>
      <c r="G32" s="731"/>
      <c r="H32" s="1380"/>
      <c r="I32" s="733"/>
      <c r="J32" s="1388"/>
      <c r="K32" s="791"/>
      <c r="L32" s="610" t="s">
        <v>45</v>
      </c>
      <c r="M32" s="577"/>
      <c r="N32" s="737"/>
      <c r="O32" s="739"/>
      <c r="P32" s="783"/>
    </row>
    <row r="33" spans="1:16" s="2" customFormat="1" ht="66" customHeight="1" x14ac:dyDescent="0.25">
      <c r="A33" s="732"/>
      <c r="B33" s="733"/>
      <c r="C33" s="1201"/>
      <c r="D33" s="1379"/>
      <c r="E33" s="737"/>
      <c r="F33" s="737"/>
      <c r="G33" s="734"/>
      <c r="H33" s="735"/>
      <c r="I33" s="736"/>
      <c r="J33" s="1389"/>
      <c r="K33" s="792"/>
      <c r="L33" s="610" t="s">
        <v>46</v>
      </c>
      <c r="M33" s="578"/>
      <c r="N33" s="737"/>
      <c r="O33" s="740"/>
      <c r="P33" s="783"/>
    </row>
    <row r="34" spans="1:16" ht="66" customHeight="1" x14ac:dyDescent="0.3">
      <c r="C34" s="1199" t="s">
        <v>67</v>
      </c>
      <c r="D34" s="1377" t="s">
        <v>1220</v>
      </c>
      <c r="E34" s="737" t="s">
        <v>1190</v>
      </c>
      <c r="F34" s="740" t="s">
        <v>1191</v>
      </c>
      <c r="G34" s="737" t="s">
        <v>34</v>
      </c>
      <c r="H34" s="737"/>
      <c r="I34" s="737"/>
      <c r="J34" s="796" t="s">
        <v>707</v>
      </c>
      <c r="K34" s="765" t="s">
        <v>1221</v>
      </c>
      <c r="L34" s="580" t="s">
        <v>44</v>
      </c>
      <c r="M34" s="576"/>
      <c r="N34" s="737"/>
      <c r="O34" s="738"/>
      <c r="P34" s="782"/>
    </row>
    <row r="35" spans="1:16" ht="66" customHeight="1" x14ac:dyDescent="0.3">
      <c r="C35" s="1200"/>
      <c r="D35" s="1378"/>
      <c r="E35" s="737"/>
      <c r="F35" s="737"/>
      <c r="G35" s="737"/>
      <c r="H35" s="737"/>
      <c r="I35" s="737"/>
      <c r="J35" s="796"/>
      <c r="K35" s="766"/>
      <c r="L35" s="579" t="s">
        <v>45</v>
      </c>
      <c r="M35" s="577"/>
      <c r="N35" s="737"/>
      <c r="O35" s="739"/>
      <c r="P35" s="783"/>
    </row>
    <row r="36" spans="1:16" ht="66" customHeight="1" x14ac:dyDescent="0.3">
      <c r="C36" s="1201"/>
      <c r="D36" s="1379"/>
      <c r="E36" s="737"/>
      <c r="F36" s="737"/>
      <c r="G36" s="737"/>
      <c r="H36" s="737"/>
      <c r="I36" s="737"/>
      <c r="J36" s="796"/>
      <c r="K36" s="767"/>
      <c r="L36" s="579" t="s">
        <v>46</v>
      </c>
      <c r="M36" s="578"/>
      <c r="N36" s="737"/>
      <c r="O36" s="740"/>
      <c r="P36" s="783"/>
    </row>
  </sheetData>
  <mergeCells count="105">
    <mergeCell ref="P22:P24"/>
    <mergeCell ref="P25:P27"/>
    <mergeCell ref="P28:P30"/>
    <mergeCell ref="P31:P33"/>
    <mergeCell ref="P34:P36"/>
    <mergeCell ref="P5:P9"/>
    <mergeCell ref="P10:P12"/>
    <mergeCell ref="P13:P15"/>
    <mergeCell ref="P16:P18"/>
    <mergeCell ref="P19:P21"/>
    <mergeCell ref="N34:N36"/>
    <mergeCell ref="F34:F36"/>
    <mergeCell ref="G34:I36"/>
    <mergeCell ref="K34:K36"/>
    <mergeCell ref="O34:O36"/>
    <mergeCell ref="E34:E36"/>
    <mergeCell ref="J34:J36"/>
    <mergeCell ref="C34:C36"/>
    <mergeCell ref="D34:D36"/>
    <mergeCell ref="O31:O33"/>
    <mergeCell ref="E31:E33"/>
    <mergeCell ref="F31:F33"/>
    <mergeCell ref="O25:O27"/>
    <mergeCell ref="O22:O24"/>
    <mergeCell ref="C22:C24"/>
    <mergeCell ref="D22:D24"/>
    <mergeCell ref="E22:E24"/>
    <mergeCell ref="F22:F24"/>
    <mergeCell ref="G22:I24"/>
    <mergeCell ref="J22:J24"/>
    <mergeCell ref="C25:C27"/>
    <mergeCell ref="D25:D27"/>
    <mergeCell ref="E25:E27"/>
    <mergeCell ref="F25:F27"/>
    <mergeCell ref="G25:I27"/>
    <mergeCell ref="O28:O30"/>
    <mergeCell ref="G28:I30"/>
    <mergeCell ref="J28:J30"/>
    <mergeCell ref="K28:K30"/>
    <mergeCell ref="N28:N30"/>
    <mergeCell ref="C28:C30"/>
    <mergeCell ref="D28:D30"/>
    <mergeCell ref="E28:E30"/>
    <mergeCell ref="O19:O21"/>
    <mergeCell ref="C16:C18"/>
    <mergeCell ref="D16:D18"/>
    <mergeCell ref="E16:E18"/>
    <mergeCell ref="F16:F18"/>
    <mergeCell ref="G16:I18"/>
    <mergeCell ref="J16:J18"/>
    <mergeCell ref="K16:K18"/>
    <mergeCell ref="N16:N18"/>
    <mergeCell ref="O16:O18"/>
    <mergeCell ref="C19:C21"/>
    <mergeCell ref="D19:D21"/>
    <mergeCell ref="E19:E21"/>
    <mergeCell ref="F19:F21"/>
    <mergeCell ref="N19:N21"/>
    <mergeCell ref="G19:I21"/>
    <mergeCell ref="A2:D2"/>
    <mergeCell ref="A5:B9"/>
    <mergeCell ref="C5:C9"/>
    <mergeCell ref="D5:D9"/>
    <mergeCell ref="E5:E9"/>
    <mergeCell ref="F5:F9"/>
    <mergeCell ref="G5:I5"/>
    <mergeCell ref="J5:J9"/>
    <mergeCell ref="K5:K9"/>
    <mergeCell ref="L5:M5"/>
    <mergeCell ref="N5:N9"/>
    <mergeCell ref="O5:O9"/>
    <mergeCell ref="A3:P3"/>
    <mergeCell ref="O13:O15"/>
    <mergeCell ref="C10:C12"/>
    <mergeCell ref="D10:D12"/>
    <mergeCell ref="E10:E12"/>
    <mergeCell ref="F10:F12"/>
    <mergeCell ref="G10:I12"/>
    <mergeCell ref="J10:J12"/>
    <mergeCell ref="K10:K12"/>
    <mergeCell ref="N10:N12"/>
    <mergeCell ref="D13:D15"/>
    <mergeCell ref="E13:E15"/>
    <mergeCell ref="F13:F15"/>
    <mergeCell ref="G13:I15"/>
    <mergeCell ref="J13:J15"/>
    <mergeCell ref="O10:O12"/>
    <mergeCell ref="N13:N15"/>
    <mergeCell ref="A10:B33"/>
    <mergeCell ref="J31:J33"/>
    <mergeCell ref="K31:K33"/>
    <mergeCell ref="N31:N33"/>
    <mergeCell ref="C13:C15"/>
    <mergeCell ref="J25:J27"/>
    <mergeCell ref="K25:K27"/>
    <mergeCell ref="N25:N27"/>
    <mergeCell ref="K22:K24"/>
    <mergeCell ref="N22:N24"/>
    <mergeCell ref="C31:C33"/>
    <mergeCell ref="D31:D33"/>
    <mergeCell ref="G31:I33"/>
    <mergeCell ref="J19:J21"/>
    <mergeCell ref="K19:K21"/>
    <mergeCell ref="K13:K15"/>
    <mergeCell ref="F28:F30"/>
  </mergeCells>
  <conditionalFormatting sqref="P10:P12">
    <cfRule type="cellIs" dxfId="3" priority="5" operator="between">
      <formula>0.7</formula>
      <formula>0.94</formula>
    </cfRule>
    <cfRule type="cellIs" dxfId="2" priority="6" operator="greaterThan">
      <formula>94</formula>
    </cfRule>
  </conditionalFormatting>
  <conditionalFormatting sqref="P13:P15">
    <cfRule type="cellIs" dxfId="1" priority="2" operator="between">
      <formula>0.7</formula>
      <formula>0.94</formula>
    </cfRule>
    <cfRule type="cellIs" dxfId="0" priority="3" operator="greaterThan">
      <formula>94</formula>
    </cfRule>
  </conditionalFormatting>
  <hyperlinks>
    <hyperlink ref="D34:D36" location="'Hoja 10. LAB AGUA -9'!A1" display="9.  PORCENTAJE (%) DE CUMPLIMIENTO DE METAS DEL PLAN DE ACCIÓN INSTITUCIONAL  2020-2023 POR PARTE DEL PROCESO" xr:uid="{670603FB-C124-46FD-BFBD-AF6161BF86D4}"/>
  </hyperlinks>
  <pageMargins left="0.70866141732283472" right="0.70866141732283472" top="0.74803149606299213" bottom="0.74803149606299213" header="0.31496062992125984" footer="0.31496062992125984"/>
  <pageSetup paperSize="119" scale="35" orientation="landscape" r:id="rId1"/>
  <headerFooter>
    <oddFooter>&amp;CR-MJ-16: FICHA DE INDICADORES
Versión 08
Hoja 10. Indicadores Proceso Laboratorio de Análisis de Aguas
Página &amp;P de &amp;N</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D72"/>
  <sheetViews>
    <sheetView zoomScale="85" zoomScaleNormal="85" workbookViewId="0">
      <pane xSplit="1" topLeftCell="B1" activePane="topRight" state="frozen"/>
      <selection pane="topRight" activeCell="B5" sqref="B5"/>
    </sheetView>
  </sheetViews>
  <sheetFormatPr baseColWidth="10" defaultColWidth="11.54296875" defaultRowHeight="15" x14ac:dyDescent="0.35"/>
  <cols>
    <col min="1" max="1" width="21.6328125" style="6" customWidth="1"/>
    <col min="2" max="2" width="150" style="6" customWidth="1"/>
    <col min="3" max="3" width="41.453125" style="6" customWidth="1"/>
    <col min="4" max="4" width="20.90625" style="6" customWidth="1"/>
    <col min="5" max="5" width="20.453125" style="6" customWidth="1"/>
    <col min="6" max="16384" width="11.54296875" style="6"/>
  </cols>
  <sheetData>
    <row r="1" spans="1:4" ht="44.25" customHeight="1" x14ac:dyDescent="0.35">
      <c r="A1" s="1410"/>
      <c r="B1" s="1410"/>
    </row>
    <row r="2" spans="1:4" ht="27.75" customHeight="1" x14ac:dyDescent="0.35">
      <c r="A2" s="1411" t="s">
        <v>30</v>
      </c>
      <c r="B2" s="1411"/>
      <c r="C2" s="1411"/>
      <c r="D2" s="1411"/>
    </row>
    <row r="3" spans="1:4" s="7" customFormat="1" ht="51" customHeight="1" x14ac:dyDescent="0.35">
      <c r="A3" s="243" t="s">
        <v>9</v>
      </c>
      <c r="B3" s="244" t="s">
        <v>8</v>
      </c>
      <c r="C3" s="243" t="s">
        <v>5</v>
      </c>
      <c r="D3" s="244" t="s">
        <v>10</v>
      </c>
    </row>
    <row r="4" spans="1:4" s="8" customFormat="1" ht="18.75" customHeight="1" x14ac:dyDescent="0.35">
      <c r="A4" s="1403" t="s">
        <v>527</v>
      </c>
      <c r="B4" s="197" t="s">
        <v>54</v>
      </c>
      <c r="C4" s="197" t="s">
        <v>56</v>
      </c>
      <c r="D4" s="255" t="e">
        <f>+'Hoja 2. DI'!#REF!</f>
        <v>#REF!</v>
      </c>
    </row>
    <row r="5" spans="1:4" s="8" customFormat="1" ht="27" customHeight="1" x14ac:dyDescent="0.35">
      <c r="A5" s="1403"/>
      <c r="B5" s="197" t="s">
        <v>62</v>
      </c>
      <c r="C5" s="197" t="s">
        <v>64</v>
      </c>
      <c r="D5" s="255" t="e">
        <f>+'Hoja 2. DI'!#REF!</f>
        <v>#REF!</v>
      </c>
    </row>
    <row r="6" spans="1:4" s="8" customFormat="1" ht="13.5" x14ac:dyDescent="0.35">
      <c r="A6" s="1403"/>
      <c r="B6" s="197" t="s">
        <v>68</v>
      </c>
      <c r="C6" s="197" t="s">
        <v>69</v>
      </c>
      <c r="D6" s="255" t="e">
        <f>+'Hoja 2. DI'!#REF!</f>
        <v>#REF!</v>
      </c>
    </row>
    <row r="7" spans="1:4" s="8" customFormat="1" ht="13.5" x14ac:dyDescent="0.35">
      <c r="A7" s="1403"/>
      <c r="B7" s="197" t="s">
        <v>670</v>
      </c>
      <c r="C7" s="1407" t="s">
        <v>72</v>
      </c>
      <c r="D7" s="256" t="e">
        <f>+'Hoja 2. DI'!#REF!</f>
        <v>#REF!</v>
      </c>
    </row>
    <row r="8" spans="1:4" s="8" customFormat="1" ht="15" customHeight="1" x14ac:dyDescent="0.35">
      <c r="A8" s="1403"/>
      <c r="B8" s="197" t="s">
        <v>671</v>
      </c>
      <c r="C8" s="1408"/>
      <c r="D8" s="255" t="e">
        <f>+'Hoja 2. DI'!#REF!</f>
        <v>#REF!</v>
      </c>
    </row>
    <row r="9" spans="1:4" s="8" customFormat="1" ht="15" customHeight="1" x14ac:dyDescent="0.35">
      <c r="A9" s="1403"/>
      <c r="B9" s="197" t="s">
        <v>672</v>
      </c>
      <c r="C9" s="1409"/>
      <c r="D9" s="255" t="e">
        <f>+'Hoja 2. DI'!#REF!</f>
        <v>#REF!</v>
      </c>
    </row>
    <row r="10" spans="1:4" s="8" customFormat="1" ht="15" customHeight="1" x14ac:dyDescent="0.35">
      <c r="A10" s="1403"/>
      <c r="B10" s="197" t="s">
        <v>694</v>
      </c>
      <c r="C10" s="197" t="s">
        <v>72</v>
      </c>
      <c r="D10" s="255" t="e">
        <f>+'Hoja 2. DI'!#REF!</f>
        <v>#REF!</v>
      </c>
    </row>
    <row r="11" spans="1:4" s="8" customFormat="1" ht="17.25" customHeight="1" x14ac:dyDescent="0.35">
      <c r="A11" s="1403"/>
      <c r="B11" s="207" t="s">
        <v>695</v>
      </c>
      <c r="C11" s="207" t="s">
        <v>696</v>
      </c>
      <c r="D11" s="257" t="e">
        <f>+'Hoja 2. DI'!#REF!</f>
        <v>#REF!</v>
      </c>
    </row>
    <row r="12" spans="1:4" s="8" customFormat="1" ht="13.5" x14ac:dyDescent="0.35">
      <c r="A12" s="1403" t="s">
        <v>19</v>
      </c>
      <c r="B12" s="197" t="s">
        <v>96</v>
      </c>
      <c r="C12" s="197" t="s">
        <v>65</v>
      </c>
      <c r="D12" s="255" t="e">
        <f>+'Hoja 3. MJ'!#REF!</f>
        <v>#REF!</v>
      </c>
    </row>
    <row r="13" spans="1:4" s="8" customFormat="1" ht="13.5" x14ac:dyDescent="0.35">
      <c r="A13" s="1403"/>
      <c r="B13" s="197" t="s">
        <v>99</v>
      </c>
      <c r="C13" s="197" t="s">
        <v>65</v>
      </c>
      <c r="D13" s="255" t="e">
        <f>+'Hoja 3. MJ'!#REF!</f>
        <v>#REF!</v>
      </c>
    </row>
    <row r="14" spans="1:4" s="8" customFormat="1" ht="13.5" x14ac:dyDescent="0.35">
      <c r="A14" s="1403"/>
      <c r="B14" s="197" t="s">
        <v>100</v>
      </c>
      <c r="C14" s="197" t="s">
        <v>65</v>
      </c>
      <c r="D14" s="255" t="e">
        <f>+'Hoja 3. MJ'!#REF!</f>
        <v>#REF!</v>
      </c>
    </row>
    <row r="15" spans="1:4" s="8" customFormat="1" ht="17.25" customHeight="1" x14ac:dyDescent="0.35">
      <c r="A15" s="1403"/>
      <c r="B15" s="197" t="s">
        <v>101</v>
      </c>
      <c r="C15" s="197" t="s">
        <v>65</v>
      </c>
      <c r="D15" s="255" t="e">
        <f>+'Hoja 3. MJ'!#REF!</f>
        <v>#REF!</v>
      </c>
    </row>
    <row r="16" spans="1:4" s="8" customFormat="1" ht="17.25" customHeight="1" x14ac:dyDescent="0.35">
      <c r="A16" s="1403"/>
      <c r="B16" s="197" t="s">
        <v>701</v>
      </c>
      <c r="C16" s="197" t="s">
        <v>56</v>
      </c>
      <c r="D16" s="255" t="e">
        <f>+'Hoja 3. MJ'!#REF!</f>
        <v>#REF!</v>
      </c>
    </row>
    <row r="17" spans="1:4" s="8" customFormat="1" ht="17.25" customHeight="1" x14ac:dyDescent="0.35">
      <c r="A17" s="1403"/>
      <c r="B17" s="197" t="s">
        <v>702</v>
      </c>
      <c r="C17" s="197" t="s">
        <v>703</v>
      </c>
      <c r="D17" s="256" t="e">
        <f>+'Hoja 3. MJ'!#REF!</f>
        <v>#REF!</v>
      </c>
    </row>
    <row r="18" spans="1:4" s="8" customFormat="1" ht="18" customHeight="1" x14ac:dyDescent="0.35">
      <c r="A18" s="1403"/>
      <c r="B18" s="197" t="s">
        <v>704</v>
      </c>
      <c r="C18" s="197" t="s">
        <v>700</v>
      </c>
      <c r="D18" s="256" t="e">
        <f>+'Hoja 3. MJ'!#REF!</f>
        <v>#REF!</v>
      </c>
    </row>
    <row r="19" spans="1:4" s="8" customFormat="1" ht="22.5" customHeight="1" x14ac:dyDescent="0.35">
      <c r="A19" s="1404" t="s">
        <v>21</v>
      </c>
      <c r="B19" s="197" t="s">
        <v>1184</v>
      </c>
      <c r="C19" s="197" t="s">
        <v>103</v>
      </c>
      <c r="D19" s="255" t="e">
        <f>+#REF!</f>
        <v>#REF!</v>
      </c>
    </row>
    <row r="20" spans="1:4" s="8" customFormat="1" ht="18.75" customHeight="1" x14ac:dyDescent="0.35">
      <c r="A20" s="1405"/>
      <c r="B20" s="197" t="s">
        <v>105</v>
      </c>
      <c r="C20" s="197" t="s">
        <v>103</v>
      </c>
      <c r="D20" s="255" t="e">
        <f>+#REF!</f>
        <v>#REF!</v>
      </c>
    </row>
    <row r="21" spans="1:4" s="8" customFormat="1" ht="33" customHeight="1" x14ac:dyDescent="0.35">
      <c r="A21" s="1405"/>
      <c r="B21" s="197" t="s">
        <v>106</v>
      </c>
      <c r="C21" s="198">
        <v>1</v>
      </c>
      <c r="D21" s="255" t="e">
        <f>+#REF!</f>
        <v>#REF!</v>
      </c>
    </row>
    <row r="22" spans="1:4" s="8" customFormat="1" ht="18.75" customHeight="1" x14ac:dyDescent="0.35">
      <c r="A22" s="1405"/>
      <c r="B22" s="197" t="s">
        <v>108</v>
      </c>
      <c r="C22" s="197" t="s">
        <v>73</v>
      </c>
      <c r="D22" s="256" t="e">
        <f>+#REF!</f>
        <v>#REF!</v>
      </c>
    </row>
    <row r="23" spans="1:4" s="8" customFormat="1" ht="24" customHeight="1" x14ac:dyDescent="0.35">
      <c r="A23" s="1406"/>
      <c r="B23" s="197" t="s">
        <v>705</v>
      </c>
      <c r="C23" s="197" t="s">
        <v>706</v>
      </c>
      <c r="D23" s="255" t="e">
        <f>+#REF!</f>
        <v>#REF!</v>
      </c>
    </row>
    <row r="24" spans="1:4" s="8" customFormat="1" ht="24" customHeight="1" x14ac:dyDescent="0.35">
      <c r="A24" s="1404" t="s">
        <v>22</v>
      </c>
      <c r="B24" s="197" t="s">
        <v>111</v>
      </c>
      <c r="C24" s="198">
        <v>1</v>
      </c>
      <c r="D24" s="256" t="e">
        <f>+#REF!</f>
        <v>#REF!</v>
      </c>
    </row>
    <row r="25" spans="1:4" s="8" customFormat="1" ht="37.5" customHeight="1" x14ac:dyDescent="0.35">
      <c r="A25" s="1405"/>
      <c r="B25" s="197" t="s">
        <v>114</v>
      </c>
      <c r="C25" s="197" t="s">
        <v>57</v>
      </c>
      <c r="D25" s="255" t="e">
        <f>+#REF!</f>
        <v>#REF!</v>
      </c>
    </row>
    <row r="26" spans="1:4" s="8" customFormat="1" ht="20.25" customHeight="1" x14ac:dyDescent="0.35">
      <c r="A26" s="1405"/>
      <c r="B26" s="197" t="s">
        <v>118</v>
      </c>
      <c r="C26" s="197" t="s">
        <v>65</v>
      </c>
      <c r="D26" s="256" t="e">
        <f>+#REF!</f>
        <v>#REF!</v>
      </c>
    </row>
    <row r="27" spans="1:4" s="8" customFormat="1" ht="20.25" customHeight="1" x14ac:dyDescent="0.35">
      <c r="A27" s="1405"/>
      <c r="B27" s="197" t="s">
        <v>122</v>
      </c>
      <c r="C27" s="198">
        <v>1</v>
      </c>
      <c r="D27" s="256" t="e">
        <f>+#REF!</f>
        <v>#REF!</v>
      </c>
    </row>
    <row r="28" spans="1:4" s="8" customFormat="1" ht="20.25" customHeight="1" x14ac:dyDescent="0.35">
      <c r="A28" s="1406"/>
      <c r="B28" s="197" t="s">
        <v>708</v>
      </c>
      <c r="C28" s="198" t="s">
        <v>709</v>
      </c>
      <c r="D28" s="255" t="e">
        <f>+#REF!</f>
        <v>#REF!</v>
      </c>
    </row>
    <row r="29" spans="1:4" s="8" customFormat="1" ht="13.5" x14ac:dyDescent="0.35">
      <c r="A29" s="1403" t="s">
        <v>20</v>
      </c>
      <c r="B29" s="197" t="s">
        <v>144</v>
      </c>
      <c r="C29" s="197" t="s">
        <v>147</v>
      </c>
      <c r="D29" s="255" t="str">
        <f>+'Hoja 6. AA2'!N41</f>
        <v>No aplica</v>
      </c>
    </row>
    <row r="30" spans="1:4" s="8" customFormat="1" ht="13.5" x14ac:dyDescent="0.35">
      <c r="A30" s="1403"/>
      <c r="B30" s="197" t="s">
        <v>152</v>
      </c>
      <c r="C30" s="197" t="s">
        <v>147</v>
      </c>
      <c r="D30" s="255" t="str">
        <f>+'Hoja 6. AA2'!N70</f>
        <v>No aplica</v>
      </c>
    </row>
    <row r="31" spans="1:4" s="8" customFormat="1" ht="23.25" customHeight="1" x14ac:dyDescent="0.35">
      <c r="A31" s="1403"/>
      <c r="B31" s="197" t="s">
        <v>155</v>
      </c>
      <c r="C31" s="198">
        <v>1</v>
      </c>
      <c r="D31" s="255">
        <f>+'Hoja 6. AA2'!J99</f>
        <v>0.66666666666666663</v>
      </c>
    </row>
    <row r="32" spans="1:4" s="8" customFormat="1" ht="74.25" customHeight="1" x14ac:dyDescent="0.35">
      <c r="A32" s="1403"/>
      <c r="B32" s="197" t="s">
        <v>158</v>
      </c>
      <c r="C32" s="197" t="s">
        <v>73</v>
      </c>
      <c r="D32" s="255">
        <f>+'Hoja 6. AA2'!L123</f>
        <v>0.73913043478260865</v>
      </c>
    </row>
    <row r="33" spans="1:4" s="8" customFormat="1" ht="27" x14ac:dyDescent="0.35">
      <c r="A33" s="1403"/>
      <c r="B33" s="197" t="s">
        <v>673</v>
      </c>
      <c r="C33" s="1407" t="s">
        <v>57</v>
      </c>
      <c r="D33" s="255">
        <f>+'Hoja 6. AA2'!K202</f>
        <v>0.91874999999999996</v>
      </c>
    </row>
    <row r="34" spans="1:4" s="8" customFormat="1" ht="27" x14ac:dyDescent="0.35">
      <c r="A34" s="1403"/>
      <c r="B34" s="197" t="s">
        <v>674</v>
      </c>
      <c r="C34" s="1408"/>
      <c r="D34" s="255">
        <f>+'Hoja 6. AA2'!K203</f>
        <v>1</v>
      </c>
    </row>
    <row r="35" spans="1:4" s="8" customFormat="1" ht="27" x14ac:dyDescent="0.35">
      <c r="A35" s="1403"/>
      <c r="B35" s="197" t="s">
        <v>675</v>
      </c>
      <c r="C35" s="1408"/>
      <c r="D35" s="255">
        <f>+'Hoja 6. AA2'!K222</f>
        <v>0.68936877076411962</v>
      </c>
    </row>
    <row r="36" spans="1:4" s="8" customFormat="1" ht="27" x14ac:dyDescent="0.35">
      <c r="A36" s="1403"/>
      <c r="B36" s="197" t="s">
        <v>678</v>
      </c>
      <c r="C36" s="1408"/>
      <c r="D36" s="255">
        <f>+'Hoja 6. AA2'!K223</f>
        <v>0.27906976744186046</v>
      </c>
    </row>
    <row r="37" spans="1:4" s="8" customFormat="1" ht="27" x14ac:dyDescent="0.35">
      <c r="A37" s="1403"/>
      <c r="B37" s="197" t="s">
        <v>676</v>
      </c>
      <c r="C37" s="1408"/>
      <c r="D37" s="255">
        <f>+'Hoja 6. AA2'!K242</f>
        <v>0.5</v>
      </c>
    </row>
    <row r="38" spans="1:4" s="8" customFormat="1" ht="27" x14ac:dyDescent="0.35">
      <c r="A38" s="1403"/>
      <c r="B38" s="197" t="s">
        <v>679</v>
      </c>
      <c r="C38" s="1408"/>
      <c r="D38" s="255">
        <f>+'Hoja 6. AA2'!K243</f>
        <v>0.83902439024390241</v>
      </c>
    </row>
    <row r="39" spans="1:4" s="8" customFormat="1" ht="27" x14ac:dyDescent="0.35">
      <c r="A39" s="1403"/>
      <c r="B39" s="197" t="s">
        <v>677</v>
      </c>
      <c r="C39" s="1408"/>
      <c r="D39" s="255">
        <f>+'Hoja 6. AA2'!K262</f>
        <v>0.49768518518518517</v>
      </c>
    </row>
    <row r="40" spans="1:4" s="8" customFormat="1" ht="27" x14ac:dyDescent="0.35">
      <c r="A40" s="1403"/>
      <c r="B40" s="197" t="s">
        <v>680</v>
      </c>
      <c r="C40" s="1409"/>
      <c r="D40" s="255">
        <f>+'Hoja 6. AA2'!K263</f>
        <v>0.7407407407407407</v>
      </c>
    </row>
    <row r="41" spans="1:4" s="8" customFormat="1" ht="27" x14ac:dyDescent="0.35">
      <c r="A41" s="1403"/>
      <c r="B41" s="197" t="s">
        <v>166</v>
      </c>
      <c r="C41" s="197" t="s">
        <v>57</v>
      </c>
      <c r="D41" s="255">
        <f>+'Hoja 6. AA2'!J288</f>
        <v>0.88888888888888884</v>
      </c>
    </row>
    <row r="42" spans="1:4" s="8" customFormat="1" ht="18" customHeight="1" x14ac:dyDescent="0.35">
      <c r="A42" s="1403"/>
      <c r="B42" s="197" t="s">
        <v>118</v>
      </c>
      <c r="C42" s="197" t="s">
        <v>65</v>
      </c>
      <c r="D42" s="255">
        <f>+'Hoja 6. AA2'!J321</f>
        <v>1</v>
      </c>
    </row>
    <row r="43" spans="1:4" s="8" customFormat="1" ht="13.5" x14ac:dyDescent="0.35">
      <c r="A43" s="1403"/>
      <c r="B43" s="197" t="s">
        <v>167</v>
      </c>
      <c r="C43" s="197" t="s">
        <v>712</v>
      </c>
      <c r="D43" s="255">
        <f>+'Hoja 6. AA2'!B338</f>
        <v>1</v>
      </c>
    </row>
    <row r="44" spans="1:4" s="8" customFormat="1" ht="13.5" x14ac:dyDescent="0.35">
      <c r="A44" s="1403"/>
      <c r="B44" s="197" t="s">
        <v>711</v>
      </c>
      <c r="C44" s="197" t="s">
        <v>74</v>
      </c>
      <c r="D44" s="255">
        <f>+'Hoja 6. AA2'!B342</f>
        <v>0.71</v>
      </c>
    </row>
    <row r="45" spans="1:4" s="8" customFormat="1" ht="42.75" customHeight="1" x14ac:dyDescent="0.35">
      <c r="A45" s="1404" t="s">
        <v>23</v>
      </c>
      <c r="B45" s="197" t="s">
        <v>225</v>
      </c>
      <c r="C45" s="197" t="s">
        <v>70</v>
      </c>
      <c r="D45" s="255">
        <f>+'Hoja 7. TH2'!M30</f>
        <v>0.61904761904761907</v>
      </c>
    </row>
    <row r="46" spans="1:4" s="8" customFormat="1" ht="15" customHeight="1" x14ac:dyDescent="0.35">
      <c r="A46" s="1405"/>
      <c r="B46" s="197" t="s">
        <v>231</v>
      </c>
      <c r="C46" s="197" t="s">
        <v>234</v>
      </c>
      <c r="D46" s="255">
        <f>+'Hoja 7. TH2'!K51</f>
        <v>0.72222222222222221</v>
      </c>
    </row>
    <row r="47" spans="1:4" s="8" customFormat="1" ht="27" x14ac:dyDescent="0.35">
      <c r="A47" s="1405"/>
      <c r="B47" s="197" t="s">
        <v>730</v>
      </c>
      <c r="C47" s="197" t="s">
        <v>65</v>
      </c>
      <c r="D47" s="255" t="e">
        <f>+'Hoja 7. TH2'!N152</f>
        <v>#DIV/0!</v>
      </c>
    </row>
    <row r="48" spans="1:4" s="8" customFormat="1" ht="20.25" customHeight="1" x14ac:dyDescent="0.35">
      <c r="A48" s="1405"/>
      <c r="B48" s="197" t="s">
        <v>729</v>
      </c>
      <c r="C48" s="197" t="s">
        <v>720</v>
      </c>
      <c r="D48" s="255">
        <f>+'Hoja 7. TH2'!B182</f>
        <v>1</v>
      </c>
    </row>
    <row r="49" spans="1:4" s="8" customFormat="1" ht="29.25" customHeight="1" x14ac:dyDescent="0.35">
      <c r="A49" s="1405"/>
      <c r="B49" s="197" t="s">
        <v>722</v>
      </c>
      <c r="C49" s="197" t="s">
        <v>727</v>
      </c>
      <c r="D49" s="255">
        <f>+'Hoja 7. TH2'!B186</f>
        <v>1</v>
      </c>
    </row>
    <row r="50" spans="1:4" s="8" customFormat="1" ht="20.25" customHeight="1" x14ac:dyDescent="0.35">
      <c r="A50" s="1406"/>
      <c r="B50" s="197" t="s">
        <v>725</v>
      </c>
      <c r="C50" s="197" t="s">
        <v>74</v>
      </c>
      <c r="D50" s="255">
        <f>+'Hoja 7. TH2'!B190</f>
        <v>0.60869565217391308</v>
      </c>
    </row>
    <row r="51" spans="1:4" s="8" customFormat="1" ht="40.5" x14ac:dyDescent="0.35">
      <c r="A51" s="1403" t="s">
        <v>24</v>
      </c>
      <c r="B51" s="197" t="s">
        <v>378</v>
      </c>
      <c r="C51" s="197" t="s">
        <v>65</v>
      </c>
      <c r="D51" s="255">
        <f>+'Hoja 8. RI 2015'!M30</f>
        <v>0.87804878048780488</v>
      </c>
    </row>
    <row r="52" spans="1:4" s="8" customFormat="1" ht="13.5" x14ac:dyDescent="0.35">
      <c r="A52" s="1403"/>
      <c r="B52" s="197" t="s">
        <v>381</v>
      </c>
      <c r="C52" s="197" t="s">
        <v>385</v>
      </c>
      <c r="D52" s="255">
        <f>+'Hoja 8. RI 2015'!J52</f>
        <v>-0.28010825439783493</v>
      </c>
    </row>
    <row r="53" spans="1:4" s="8" customFormat="1" ht="13.5" x14ac:dyDescent="0.35">
      <c r="A53" s="1403"/>
      <c r="B53" s="197" t="s">
        <v>389</v>
      </c>
      <c r="C53" s="197" t="s">
        <v>392</v>
      </c>
      <c r="D53" s="255">
        <f>+'Hoja 8. RI 2015'!J89</f>
        <v>0.13918806959403485</v>
      </c>
    </row>
    <row r="54" spans="1:4" s="8" customFormat="1" ht="13.5" x14ac:dyDescent="0.35">
      <c r="A54" s="1403"/>
      <c r="B54" s="197" t="s">
        <v>395</v>
      </c>
      <c r="C54" s="197" t="s">
        <v>392</v>
      </c>
      <c r="D54" s="255">
        <f>+'Hoja 8. RI 2015'!K109</f>
        <v>-0.32260273538307416</v>
      </c>
    </row>
    <row r="55" spans="1:4" s="8" customFormat="1" ht="18.75" customHeight="1" x14ac:dyDescent="0.35">
      <c r="A55" s="1403"/>
      <c r="B55" s="197" t="s">
        <v>735</v>
      </c>
      <c r="C55" s="197" t="s">
        <v>736</v>
      </c>
      <c r="D55" s="255">
        <f>+'Hoja 8. RI 2015'!B124</f>
        <v>1</v>
      </c>
    </row>
    <row r="56" spans="1:4" s="8" customFormat="1" ht="24" customHeight="1" x14ac:dyDescent="0.35">
      <c r="A56" s="1403"/>
      <c r="B56" s="197" t="s">
        <v>404</v>
      </c>
      <c r="C56" s="197" t="s">
        <v>407</v>
      </c>
      <c r="D56" s="255">
        <f>+'Hoja 8. RI 2015'!B128</f>
        <v>1</v>
      </c>
    </row>
    <row r="57" spans="1:4" s="8" customFormat="1" ht="24" customHeight="1" x14ac:dyDescent="0.35">
      <c r="A57" s="451"/>
      <c r="B57" s="197" t="s">
        <v>404</v>
      </c>
      <c r="C57" s="197" t="s">
        <v>407</v>
      </c>
      <c r="D57" s="255">
        <f>+'Hoja 8. RI 2015'!B129</f>
        <v>0</v>
      </c>
    </row>
    <row r="58" spans="1:4" s="8" customFormat="1" ht="20.25" customHeight="1" x14ac:dyDescent="0.35">
      <c r="A58" s="1403" t="s">
        <v>25</v>
      </c>
      <c r="B58" s="197" t="s">
        <v>452</v>
      </c>
      <c r="C58" s="197" t="s">
        <v>455</v>
      </c>
      <c r="D58" s="255">
        <f>+'Hoja 9. FC2'!L26</f>
        <v>-0.15837266940443898</v>
      </c>
    </row>
    <row r="59" spans="1:4" s="8" customFormat="1" ht="21" customHeight="1" x14ac:dyDescent="0.35">
      <c r="A59" s="1403"/>
      <c r="B59" s="197" t="s">
        <v>459</v>
      </c>
      <c r="C59" s="197" t="s">
        <v>455</v>
      </c>
      <c r="D59" s="255">
        <f>+'Hoja 9. FC2'!J50</f>
        <v>-7.6754228710622678E-3</v>
      </c>
    </row>
    <row r="60" spans="1:4" s="8" customFormat="1" ht="30.75" customHeight="1" x14ac:dyDescent="0.35">
      <c r="A60" s="1403"/>
      <c r="B60" s="197" t="s">
        <v>742</v>
      </c>
      <c r="C60" s="197" t="s">
        <v>743</v>
      </c>
      <c r="D60" s="255">
        <f>+'Hoja 9. FC2'!B69</f>
        <v>0</v>
      </c>
    </row>
    <row r="61" spans="1:4" s="8" customFormat="1" ht="28.5" customHeight="1" x14ac:dyDescent="0.35">
      <c r="A61" s="1403"/>
      <c r="B61" s="197" t="s">
        <v>738</v>
      </c>
      <c r="C61" s="197" t="s">
        <v>463</v>
      </c>
      <c r="D61" s="256">
        <f>+'Hoja 9. FC2'!B73</f>
        <v>1</v>
      </c>
    </row>
    <row r="62" spans="1:4" s="8" customFormat="1" ht="14.25" customHeight="1" x14ac:dyDescent="0.35">
      <c r="A62" s="1403"/>
      <c r="B62" s="197" t="s">
        <v>741</v>
      </c>
      <c r="C62" s="197" t="s">
        <v>740</v>
      </c>
      <c r="D62" s="258">
        <f>+'Hoja 9. FC2'!B78</f>
        <v>0.6</v>
      </c>
    </row>
    <row r="63" spans="1:4" s="8" customFormat="1" ht="14.25" customHeight="1" x14ac:dyDescent="0.35">
      <c r="A63" s="1401" t="s">
        <v>27</v>
      </c>
      <c r="B63" s="197" t="s">
        <v>481</v>
      </c>
      <c r="C63" s="197" t="s">
        <v>57</v>
      </c>
      <c r="D63" s="255" t="e">
        <f>+#REF!</f>
        <v>#REF!</v>
      </c>
    </row>
    <row r="64" spans="1:4" s="8" customFormat="1" ht="60" customHeight="1" x14ac:dyDescent="0.35">
      <c r="A64" s="1402"/>
      <c r="B64" s="197" t="s">
        <v>485</v>
      </c>
      <c r="C64" s="197" t="s">
        <v>65</v>
      </c>
      <c r="D64" s="255" t="e">
        <f>+#REF!</f>
        <v>#REF!</v>
      </c>
    </row>
    <row r="65" spans="1:4" s="8" customFormat="1" ht="27" x14ac:dyDescent="0.35">
      <c r="A65" s="1402"/>
      <c r="B65" s="197" t="s">
        <v>488</v>
      </c>
      <c r="C65" s="197" t="s">
        <v>57</v>
      </c>
      <c r="D65" s="255" t="e">
        <f>+#REF!</f>
        <v>#REF!</v>
      </c>
    </row>
    <row r="66" spans="1:4" s="8" customFormat="1" ht="24.75" customHeight="1" x14ac:dyDescent="0.35">
      <c r="A66" s="1402"/>
      <c r="B66" s="197" t="s">
        <v>118</v>
      </c>
      <c r="C66" s="197" t="s">
        <v>65</v>
      </c>
      <c r="D66" s="255" t="e">
        <f>+#REF!</f>
        <v>#REF!</v>
      </c>
    </row>
    <row r="67" spans="1:4" s="8" customFormat="1" ht="31.5" customHeight="1" x14ac:dyDescent="0.35">
      <c r="A67" s="1402"/>
      <c r="B67" s="197" t="s">
        <v>681</v>
      </c>
      <c r="C67" s="197" t="s">
        <v>682</v>
      </c>
      <c r="D67" s="255" t="e">
        <f>+#REF!</f>
        <v>#REF!</v>
      </c>
    </row>
    <row r="68" spans="1:4" ht="57.75" customHeight="1" x14ac:dyDescent="0.35">
      <c r="A68" s="1402"/>
      <c r="B68" s="197" t="s">
        <v>490</v>
      </c>
      <c r="C68" s="197" t="s">
        <v>493</v>
      </c>
      <c r="D68" s="255" t="e">
        <f>+#REF!</f>
        <v>#REF!</v>
      </c>
    </row>
    <row r="69" spans="1:4" ht="51" customHeight="1" x14ac:dyDescent="0.35">
      <c r="A69" s="1402"/>
      <c r="B69" s="197" t="s">
        <v>683</v>
      </c>
      <c r="C69" s="197" t="s">
        <v>685</v>
      </c>
      <c r="D69" s="255" t="e">
        <f>+#REF!</f>
        <v>#REF!</v>
      </c>
    </row>
    <row r="70" spans="1:4" ht="44.25" customHeight="1" x14ac:dyDescent="0.35">
      <c r="A70" s="1402"/>
      <c r="B70" s="197" t="s">
        <v>684</v>
      </c>
      <c r="C70" s="197" t="s">
        <v>686</v>
      </c>
      <c r="D70" s="259" t="e">
        <f>+#REF!</f>
        <v>#REF!</v>
      </c>
    </row>
    <row r="71" spans="1:4" ht="44.25" customHeight="1" x14ac:dyDescent="0.35">
      <c r="A71" s="1402"/>
      <c r="B71" s="197" t="s">
        <v>782</v>
      </c>
      <c r="C71" s="197" t="s">
        <v>57</v>
      </c>
      <c r="D71" s="255" t="e">
        <f>+#REF!</f>
        <v>#REF!</v>
      </c>
    </row>
    <row r="72" spans="1:4" ht="44.25" customHeight="1" x14ac:dyDescent="0.35">
      <c r="A72" s="1402"/>
      <c r="B72" s="197" t="s">
        <v>786</v>
      </c>
      <c r="C72" s="197" t="s">
        <v>787</v>
      </c>
      <c r="D72" s="255" t="e">
        <f>+#REF!</f>
        <v>#REF!</v>
      </c>
    </row>
  </sheetData>
  <mergeCells count="13">
    <mergeCell ref="C7:C9"/>
    <mergeCell ref="C33:C40"/>
    <mergeCell ref="A1:B1"/>
    <mergeCell ref="A4:A11"/>
    <mergeCell ref="A2:D2"/>
    <mergeCell ref="A19:A23"/>
    <mergeCell ref="A63:A72"/>
    <mergeCell ref="A58:A62"/>
    <mergeCell ref="A12:A18"/>
    <mergeCell ref="A29:A44"/>
    <mergeCell ref="A51:A56"/>
    <mergeCell ref="A24:A28"/>
    <mergeCell ref="A45:A50"/>
  </mergeCells>
  <pageMargins left="0.70866141732283472" right="0.70866141732283472" top="0.74803149606299213" bottom="0.74803149606299213" header="0.31496062992125984" footer="0.31496062992125984"/>
  <pageSetup paperSize="119" scale="60" orientation="landscape" r:id="rId1"/>
  <headerFooter>
    <oddFooter>&amp;CR-MJ-16: FICHA DE INDICADORES
Versión 06
Hoja 11. Tabla de Control Indicadores Sistema de Gestión Corporativo
Página &amp;P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25</vt:i4>
      </vt:variant>
      <vt:variant>
        <vt:lpstr>Rangos con nombre</vt:lpstr>
      </vt:variant>
      <vt:variant>
        <vt:i4>6</vt:i4>
      </vt:variant>
    </vt:vector>
  </HeadingPairs>
  <TitlesOfParts>
    <vt:vector size="31" baseType="lpstr">
      <vt:lpstr>Hoja 1. Inicio - Matriz Indic</vt:lpstr>
      <vt:lpstr>Hoja 2. DI</vt:lpstr>
      <vt:lpstr>Hoja 3. MJ</vt:lpstr>
      <vt:lpstr>Hoja 4. PG</vt:lpstr>
      <vt:lpstr>Hoja 4. PG-4 (2)</vt:lpstr>
      <vt:lpstr>Hoja 4. PG-7 (2)</vt:lpstr>
      <vt:lpstr>Hoja 5. GP</vt:lpstr>
      <vt:lpstr>Hoja 5. GP 2017</vt:lpstr>
      <vt:lpstr>Hoja 6. AA</vt:lpstr>
      <vt:lpstr>Hoja 6. AA2</vt:lpstr>
      <vt:lpstr>Hoja 5. GP-7 (2)</vt:lpstr>
      <vt:lpstr>Hoja 6. AA.</vt:lpstr>
      <vt:lpstr>Hoja 6. AA 2018</vt:lpstr>
      <vt:lpstr>Hoja 6. AA 2017</vt:lpstr>
      <vt:lpstr>Hoja 7. TH</vt:lpstr>
      <vt:lpstr>Hoja 7. TH2</vt:lpstr>
      <vt:lpstr>Hoja 8. RI</vt:lpstr>
      <vt:lpstr>Hoja 8. RI2 </vt:lpstr>
      <vt:lpstr>Hoja 8. RI 2015</vt:lpstr>
      <vt:lpstr>Hoja 9. FC</vt:lpstr>
      <vt:lpstr>Hoja 9. FC 2017</vt:lpstr>
      <vt:lpstr>Hoja 9. FC2</vt:lpstr>
      <vt:lpstr>Hoja 10. LABORATORIO DE AGUA</vt:lpstr>
      <vt:lpstr>HOJA 10. LAB AGUA</vt:lpstr>
      <vt:lpstr>Hoja 11. TABLA DE CONTROL</vt:lpstr>
      <vt:lpstr>'Hoja 1. Inicio - Matriz Indic'!Área_de_impresión</vt:lpstr>
      <vt:lpstr>'Hoja 11. TABLA DE CONTROL'!Área_de_impresión</vt:lpstr>
      <vt:lpstr>N°_DE_EQUIPOS_ADQUIRIDOS_O_REPUESTOS_PARA_LA_PRESTACIÓN_DE_SERVICIOS_SOLICITADOS_POR_LOS_USUARIOS.</vt:lpstr>
      <vt:lpstr>'Hoja 6. AA 2017'!PORCENTAJE_____DE_TRÁMITES_RESUELTOS_EN_UN_TIEMPO_IGUAL_O_INFERIOR_A_LO_REGLAMENTADO_EN_EL_SGC.__LICENCIAS_AMBIENTALES__115_DÍAS_HÁBILES_.__CONCESIONES_DE_AGUAS_SUBTERRÁNEAS_Y_SUPERFICIALES__55_DÍAS_HÁBILES_.__PERMISOS_DE_VERTIMIENTOS__55_DÍAS_HÁBILES_.</vt:lpstr>
      <vt:lpstr>'Hoja 6. AA 2018'!PORCENTAJE_____DE_TRÁMITES_RESUELTOS_EN_UN_TIEMPO_IGUAL_O_INFERIOR_A_LO_REGLAMENTADO_EN_EL_SGC.__LICENCIAS_AMBIENTALES__115_DÍAS_HÁBILES_.__CONCESIONES_DE_AGUAS_SUBTERRÁNEAS_Y_SUPERFICIALES__55_DÍAS_HÁBILES_.__PERMISOS_DE_VERTIMIENTOS__55_DÍAS_HÁBILES_.</vt:lpstr>
      <vt:lpstr>PORCENTAJE_____DE_TRÁMITES_RESUELTOS_EN_UN_TIEMPO_IGUAL_O_INFERIOR_A_LO_REGLAMENTADO_EN_EL_SGC.__LICENCIAS_AMBIENTALES__115_DÍAS_HÁBILES_.__CONCESIONES_DE_AGUAS_SUBTERRÁNEAS_Y_SUPERFICIALES__55_DÍAS_HÁBILES_.__PERMISOS_DE_VERTIMIENTOS__55_DÍAS_HÁBILES_.</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EXPAjidlahoz</dc:creator>
  <cp:lastModifiedBy>Jhon Jaime</cp:lastModifiedBy>
  <cp:lastPrinted>2024-06-10T22:00:07Z</cp:lastPrinted>
  <dcterms:created xsi:type="dcterms:W3CDTF">2010-09-13T13:56:26Z</dcterms:created>
  <dcterms:modified xsi:type="dcterms:W3CDTF">2024-07-25T21:17:03Z</dcterms:modified>
</cp:coreProperties>
</file>